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dech\BIWS Dropbox\Brian DeChesare\BIWS-All-Courses\00-Excellence-with-Excel-2020-Edition\XL-03-Financial-Formulas-Lookups-2025-Version\XL-03-27-Sensitivity-Tables\"/>
    </mc:Choice>
  </mc:AlternateContent>
  <xr:revisionPtr revIDLastSave="0" documentId="13_ncr:1_{54C97F7E-3F4C-461E-97FC-FE975874A032}" xr6:coauthVersionLast="47" xr6:coauthVersionMax="47" xr10:uidLastSave="{00000000-0000-0000-0000-000000000000}"/>
  <bookViews>
    <workbookView xWindow="-110" yWindow="-110" windowWidth="25820" windowHeight="15500" firstSheet="3" activeTab="5" xr2:uid="{00000000-000D-0000-FFFF-FFFF00000000}"/>
  </bookViews>
  <sheets>
    <sheet name="Cover" sheetId="14" r:id="rId1"/>
    <sheet name="Summary" sheetId="12" r:id="rId2"/>
    <sheet name="Graphs" sheetId="13" r:id="rId3"/>
    <sheet name="WMT_Model" sheetId="1" r:id="rId4"/>
    <sheet name="Q1_Results" sheetId="7" r:id="rId5"/>
    <sheet name="DCF" sheetId="11" r:id="rId6"/>
    <sheet name="WACC" sheetId="6" r:id="rId7"/>
    <sheet name="ValSum" sheetId="8" r:id="rId8"/>
    <sheet name="ValGraph" sheetId="9" r:id="rId9"/>
    <sheet name="Public_Comps" sheetId="3" r:id="rId10"/>
    <sheet name="Public_Comps_Data" sheetId="4" r:id="rId11"/>
    <sheet name="MA_Comps" sheetId="5" r:id="rId12"/>
  </sheets>
  <definedNames>
    <definedName name="Avg_Balances">WMT_Model!$M$17</definedName>
    <definedName name="Basic_Shares">Public_Comps_Data!$AF$35</definedName>
    <definedName name="Company_Name">WMT_Model!$D$7</definedName>
    <definedName name="Cost_of_Debt">WACC!$F$8</definedName>
    <definedName name="Cost_of_Preferred">WACC!$F$9</definedName>
    <definedName name="Discount_Rate">DCF!$D$8</definedName>
    <definedName name="Equity_Risk_Premium">WACC!$F$7</definedName>
    <definedName name="Forward_Year_1">WMT_Model!$M$13</definedName>
    <definedName name="Forward_Year_2">WMT_Model!$M$14</definedName>
    <definedName name="Forward_Year_3">WMT_Model!$M$15</definedName>
    <definedName name="Hist_Year">WMT_Model!$M$7</definedName>
    <definedName name="LTM">WMT_Model!$M$12</definedName>
    <definedName name="Next_Year">WMT_Model!$M$8</definedName>
    <definedName name="_xlnm.Print_Area" localSheetId="0">Cover!$A$1:$G$33</definedName>
    <definedName name="_xlnm.Print_Area" localSheetId="5">DCF!$A$1:$S$140</definedName>
    <definedName name="_xlnm.Print_Area" localSheetId="2">Graphs!$A$1:$N$156</definedName>
    <definedName name="_xlnm.Print_Area" localSheetId="11">MA_Comps!$A$1:$Q$22</definedName>
    <definedName name="_xlnm.Print_Area" localSheetId="9">Public_Comps!$A$1:$U$40</definedName>
    <definedName name="_xlnm.Print_Area" localSheetId="10">Public_Comps_Data!$A$1:$AF$103</definedName>
    <definedName name="_xlnm.Print_Area" localSheetId="4">Q1_Results!$A$1:$J$33</definedName>
    <definedName name="_xlnm.Print_Area" localSheetId="1">Summary!$A$1:$P$58</definedName>
    <definedName name="_xlnm.Print_Area" localSheetId="8">ValGraph!$A$1:$W$31</definedName>
    <definedName name="_xlnm.Print_Area" localSheetId="7">ValSum!$A$1:$N$31</definedName>
    <definedName name="_xlnm.Print_Area" localSheetId="6">WACC!$A$1:$M$42</definedName>
    <definedName name="_xlnm.Print_Area" localSheetId="3">WMT_Model!$A$1:$N$257</definedName>
    <definedName name="_xlnm.Print_Titles" localSheetId="10">Public_Comps_Data!$A:$C,Public_Comps_Data!$1:$5</definedName>
    <definedName name="Pub_Comps_Params">Public_Comps_Data!$B$1:$B$102</definedName>
    <definedName name="Pub_Comps_Range">Public_Comps_Data!$B$1:$AF$102</definedName>
    <definedName name="Pub_Comps_Tickers">Public_Comps_Data!$B$1:$AF$1</definedName>
    <definedName name="Risk_Free_Rate">WACC!$F$6</definedName>
    <definedName name="Scenario">DCF!$D$10</definedName>
    <definedName name="Share_Price">WMT_Model!$D$11</definedName>
    <definedName name="Stub_Period">DCF!$D$11</definedName>
    <definedName name="Tax_Rate">WMT_Model!$D$12</definedName>
    <definedName name="Terminal_Growth_Rate">DCF!$N$12</definedName>
    <definedName name="Terminal_Multiple">DCF!$I$12</definedName>
    <definedName name="Ticker">WMT_Model!$D$8</definedName>
    <definedName name="Units">WMT_Model!$D$9</definedName>
    <definedName name="Valuation_Date">WMT_Model!$M$10</definedName>
    <definedName name="WACC">WACC!$L$41</definedName>
  </definedNames>
  <calcPr calcId="191029" calcMode="autoNoTable" iterate="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1" l="1"/>
  <c r="D8" i="11"/>
  <c r="H174" i="1" l="1"/>
  <c r="G174" i="1"/>
  <c r="F174" i="1"/>
  <c r="E174" i="1"/>
  <c r="H154" i="1"/>
  <c r="G154" i="1"/>
  <c r="F154" i="1"/>
  <c r="E154" i="1"/>
  <c r="H151" i="1"/>
  <c r="G151" i="1"/>
  <c r="F151" i="1"/>
  <c r="E151" i="1"/>
  <c r="E49" i="1"/>
  <c r="F49" i="1"/>
  <c r="G49" i="1"/>
  <c r="H49" i="1"/>
  <c r="E23" i="1"/>
  <c r="H25" i="8" l="1"/>
  <c r="C25" i="8" a="1"/>
  <c r="C25" i="8" s="1"/>
  <c r="C23" i="8" a="1"/>
  <c r="C23" i="8" s="1"/>
  <c r="F31" i="3" l="1"/>
  <c r="E31" i="3"/>
  <c r="D31" i="3"/>
  <c r="F30" i="3"/>
  <c r="E30" i="3"/>
  <c r="D30" i="3"/>
  <c r="F29" i="3"/>
  <c r="E29" i="3"/>
  <c r="D29" i="3"/>
  <c r="F28" i="3"/>
  <c r="E28" i="3"/>
  <c r="D28" i="3"/>
  <c r="F27" i="3"/>
  <c r="E27" i="3"/>
  <c r="D27" i="3"/>
  <c r="B31" i="3"/>
  <c r="B30" i="3"/>
  <c r="B29" i="3"/>
  <c r="B28" i="3"/>
  <c r="B27" i="3"/>
  <c r="C39" i="3"/>
  <c r="C31" i="3"/>
  <c r="C30" i="3"/>
  <c r="C29" i="3"/>
  <c r="C28" i="3"/>
  <c r="C27" i="3"/>
  <c r="M13" i="3"/>
  <c r="J13" i="3"/>
  <c r="G13" i="3"/>
  <c r="F13" i="3"/>
  <c r="E13" i="3"/>
  <c r="D13" i="3"/>
  <c r="M12" i="3"/>
  <c r="J12" i="3"/>
  <c r="G12" i="3"/>
  <c r="F12" i="3"/>
  <c r="E12" i="3"/>
  <c r="D12" i="3"/>
  <c r="M11" i="3"/>
  <c r="J11" i="3"/>
  <c r="G11" i="3"/>
  <c r="F11" i="3"/>
  <c r="E11" i="3"/>
  <c r="D11" i="3"/>
  <c r="M10" i="3"/>
  <c r="J10" i="3"/>
  <c r="G10" i="3"/>
  <c r="F10" i="3"/>
  <c r="E10" i="3"/>
  <c r="D10" i="3"/>
  <c r="M9" i="3"/>
  <c r="J9" i="3"/>
  <c r="G9" i="3"/>
  <c r="F9" i="3"/>
  <c r="E9" i="3"/>
  <c r="D9" i="3"/>
  <c r="B13" i="3"/>
  <c r="B12" i="3"/>
  <c r="B11" i="3"/>
  <c r="B10" i="3"/>
  <c r="C21" i="3"/>
  <c r="B9" i="3"/>
  <c r="K19" i="6"/>
  <c r="K18" i="6"/>
  <c r="K17" i="6"/>
  <c r="K16" i="6"/>
  <c r="K15" i="6"/>
  <c r="I19" i="6"/>
  <c r="I18" i="6"/>
  <c r="I17" i="6"/>
  <c r="I16" i="6"/>
  <c r="I15" i="6"/>
  <c r="G19" i="6"/>
  <c r="G18" i="6"/>
  <c r="G17" i="6"/>
  <c r="G16" i="6"/>
  <c r="G15" i="6"/>
  <c r="E19" i="6"/>
  <c r="D19" i="6"/>
  <c r="E18" i="6"/>
  <c r="D18" i="6"/>
  <c r="E17" i="6"/>
  <c r="D17" i="6"/>
  <c r="E16" i="6"/>
  <c r="D16" i="6"/>
  <c r="E15" i="6"/>
  <c r="D15" i="6"/>
  <c r="B19" i="6"/>
  <c r="B18" i="6"/>
  <c r="B17" i="6"/>
  <c r="B16" i="6"/>
  <c r="B15" i="6"/>
  <c r="M74" i="1"/>
  <c r="L74" i="1"/>
  <c r="K74" i="1"/>
  <c r="J74" i="1"/>
  <c r="I74" i="1"/>
  <c r="M51" i="1"/>
  <c r="L51" i="1"/>
  <c r="K51" i="1"/>
  <c r="J51" i="1"/>
  <c r="I51" i="1"/>
  <c r="I48" i="1" s="1"/>
  <c r="J48" i="1" s="1"/>
  <c r="K48" i="1" s="1"/>
  <c r="L48" i="1" s="1"/>
  <c r="M48" i="1" s="1"/>
  <c r="M28" i="1"/>
  <c r="L28" i="1"/>
  <c r="K28" i="1"/>
  <c r="J28" i="1"/>
  <c r="I28" i="1"/>
  <c r="B32" i="14"/>
  <c r="B22" i="14"/>
  <c r="B28" i="14"/>
  <c r="B29" i="14"/>
  <c r="B31" i="14"/>
  <c r="B23" i="14"/>
  <c r="B27" i="14"/>
  <c r="B24" i="14"/>
  <c r="B25" i="14"/>
  <c r="B30" i="14"/>
  <c r="B26" i="14"/>
  <c r="E21" i="6" l="1"/>
  <c r="G21" i="6"/>
  <c r="D19" i="3"/>
  <c r="M17" i="3"/>
  <c r="I21" i="6"/>
  <c r="D35" i="3"/>
  <c r="E35" i="3"/>
  <c r="K21" i="6"/>
  <c r="J18" i="3"/>
  <c r="F33" i="3"/>
  <c r="D33" i="3"/>
  <c r="D37" i="3"/>
  <c r="E37" i="3"/>
  <c r="F35" i="3"/>
  <c r="D21" i="6"/>
  <c r="E15" i="3"/>
  <c r="J16" i="3"/>
  <c r="F15" i="3"/>
  <c r="F19" i="3"/>
  <c r="G15" i="3"/>
  <c r="G19" i="3"/>
  <c r="M19" i="3"/>
  <c r="D18" i="3"/>
  <c r="E19" i="3"/>
  <c r="J19" i="3"/>
  <c r="F18" i="3"/>
  <c r="G16" i="3"/>
  <c r="M15" i="3"/>
  <c r="E34" i="3"/>
  <c r="E36" i="3"/>
  <c r="E33" i="3"/>
  <c r="F37" i="3"/>
  <c r="D34" i="3"/>
  <c r="F34" i="3"/>
  <c r="D36" i="3"/>
  <c r="F36" i="3"/>
  <c r="E17" i="3"/>
  <c r="J17" i="3"/>
  <c r="J15" i="3"/>
  <c r="G18" i="3"/>
  <c r="F17" i="3"/>
  <c r="G17" i="3"/>
  <c r="E16" i="3"/>
  <c r="D15" i="3"/>
  <c r="F16" i="3"/>
  <c r="M16" i="3"/>
  <c r="E18" i="3"/>
  <c r="M18" i="3"/>
  <c r="D16" i="3"/>
  <c r="D17" i="3"/>
  <c r="M23" i="3"/>
  <c r="J23" i="3"/>
  <c r="G23" i="3"/>
  <c r="F23" i="3"/>
  <c r="E23" i="3"/>
  <c r="D23" i="3"/>
  <c r="C23" i="3"/>
  <c r="B23" i="3"/>
  <c r="R5" i="3" l="1"/>
  <c r="Q5" i="3"/>
  <c r="P5" i="3"/>
  <c r="M5" i="3"/>
  <c r="J5" i="3"/>
  <c r="G5" i="3"/>
  <c r="F5" i="3"/>
  <c r="E5" i="3"/>
  <c r="D5" i="3"/>
  <c r="C5" i="3"/>
  <c r="B5" i="3"/>
  <c r="D22" i="11"/>
  <c r="I34" i="11" s="1"/>
  <c r="N34" i="11" s="1"/>
  <c r="D21" i="11"/>
  <c r="I33" i="11" s="1"/>
  <c r="N33" i="11" s="1"/>
  <c r="D20" i="11"/>
  <c r="I32" i="11" s="1"/>
  <c r="N32" i="11" s="1"/>
  <c r="D19" i="11"/>
  <c r="I31" i="11" s="1"/>
  <c r="N31" i="11" s="1"/>
  <c r="D16" i="11"/>
  <c r="I28" i="11" s="1"/>
  <c r="N28" i="11" s="1"/>
  <c r="D15" i="11"/>
  <c r="I27" i="11" s="1"/>
  <c r="N27" i="11" s="1"/>
  <c r="D14" i="11"/>
  <c r="I26" i="11" s="1"/>
  <c r="N26" i="11" s="1"/>
  <c r="L19" i="6"/>
  <c r="L18" i="6"/>
  <c r="L17" i="6"/>
  <c r="L16" i="6"/>
  <c r="L15" i="6"/>
  <c r="J19" i="6"/>
  <c r="J18" i="6"/>
  <c r="J17" i="6"/>
  <c r="J16" i="6"/>
  <c r="J15" i="6"/>
  <c r="H19" i="6"/>
  <c r="H18" i="6"/>
  <c r="H17" i="6"/>
  <c r="H16" i="6"/>
  <c r="H15" i="6"/>
  <c r="F19" i="6"/>
  <c r="F18" i="6"/>
  <c r="F17" i="6"/>
  <c r="F16" i="6"/>
  <c r="F15" i="6"/>
  <c r="K11" i="6"/>
  <c r="I11" i="6"/>
  <c r="G11" i="6"/>
  <c r="E11" i="6"/>
  <c r="D11" i="6"/>
  <c r="C11" i="6"/>
  <c r="B11" i="6"/>
  <c r="F21" i="6" l="1"/>
  <c r="F29" i="6" s="1"/>
  <c r="L21" i="6"/>
  <c r="D29" i="6" s="1"/>
  <c r="H21" i="6"/>
  <c r="H29" i="6" s="1"/>
  <c r="J21" i="6"/>
  <c r="J29" i="6" s="1"/>
  <c r="D28" i="6" l="1"/>
  <c r="F204" i="1"/>
  <c r="G204" i="1"/>
  <c r="H204" i="1"/>
  <c r="G190" i="1"/>
  <c r="H190" i="1"/>
  <c r="F153" i="1"/>
  <c r="G153" i="1"/>
  <c r="H153" i="1"/>
  <c r="I145" i="1"/>
  <c r="E145" i="1"/>
  <c r="J118" i="1"/>
  <c r="K118" i="1" s="1"/>
  <c r="L118" i="1" s="1"/>
  <c r="M118" i="1" s="1"/>
  <c r="H26" i="1"/>
  <c r="G21" i="5" l="1"/>
  <c r="F21" i="5"/>
  <c r="G20" i="5"/>
  <c r="F20" i="5"/>
  <c r="G19" i="5"/>
  <c r="F19" i="5"/>
  <c r="G18" i="5"/>
  <c r="F18" i="5"/>
  <c r="G17" i="5"/>
  <c r="F17" i="5"/>
  <c r="E21" i="5"/>
  <c r="E20" i="5"/>
  <c r="E19" i="5"/>
  <c r="E18" i="5"/>
  <c r="E17" i="5"/>
  <c r="F250" i="1"/>
  <c r="G250" i="1"/>
  <c r="H250" i="1"/>
  <c r="E250" i="1"/>
  <c r="F210" i="1"/>
  <c r="G210" i="1"/>
  <c r="H210" i="1"/>
  <c r="F198" i="1"/>
  <c r="F206" i="1" s="1"/>
  <c r="G198" i="1"/>
  <c r="G206" i="1" s="1"/>
  <c r="H198" i="1"/>
  <c r="H206" i="1" s="1"/>
  <c r="E210" i="1"/>
  <c r="E204" i="1"/>
  <c r="E198" i="1"/>
  <c r="F190" i="1"/>
  <c r="E190" i="1"/>
  <c r="F184" i="1"/>
  <c r="G184" i="1"/>
  <c r="H184" i="1"/>
  <c r="E184" i="1"/>
  <c r="E206" i="1" l="1"/>
  <c r="E212" i="1" s="1"/>
  <c r="H212" i="1"/>
  <c r="G212" i="1"/>
  <c r="F212" i="1"/>
  <c r="H20" i="1"/>
  <c r="M8" i="1"/>
  <c r="M13" i="1" l="1"/>
  <c r="M14" i="1" s="1"/>
  <c r="M15" i="1" s="1"/>
  <c r="D11" i="11"/>
  <c r="I89" i="11" s="1"/>
  <c r="H91" i="1"/>
  <c r="H146" i="1"/>
  <c r="H44" i="1"/>
  <c r="H67" i="1"/>
  <c r="H177" i="1"/>
  <c r="H6" i="12"/>
  <c r="G20" i="1"/>
  <c r="I20" i="1"/>
  <c r="H217" i="1"/>
  <c r="G91" i="1" l="1"/>
  <c r="G44" i="1"/>
  <c r="G67" i="1"/>
  <c r="G146" i="1"/>
  <c r="I91" i="1"/>
  <c r="I44" i="1"/>
  <c r="I146" i="1"/>
  <c r="I67" i="1"/>
  <c r="J89" i="11"/>
  <c r="I90" i="11"/>
  <c r="J20" i="1"/>
  <c r="I6" i="12"/>
  <c r="I45" i="12"/>
  <c r="G6" i="12"/>
  <c r="G217" i="1"/>
  <c r="F20" i="1"/>
  <c r="G177" i="1"/>
  <c r="I177" i="1"/>
  <c r="I217" i="1"/>
  <c r="I216" i="1"/>
  <c r="E216" i="1"/>
  <c r="I176" i="1"/>
  <c r="E176" i="1"/>
  <c r="I90" i="1"/>
  <c r="E90" i="1"/>
  <c r="J146" i="1" l="1"/>
  <c r="J44" i="1"/>
  <c r="J67" i="1"/>
  <c r="F91" i="1"/>
  <c r="F67" i="1"/>
  <c r="F44" i="1"/>
  <c r="F146" i="1"/>
  <c r="J90" i="11"/>
  <c r="K89" i="11"/>
  <c r="J91" i="1"/>
  <c r="J177" i="1"/>
  <c r="J217" i="1"/>
  <c r="F177" i="1"/>
  <c r="F6" i="12"/>
  <c r="K20" i="1"/>
  <c r="J6" i="12"/>
  <c r="J45" i="12"/>
  <c r="E20" i="1"/>
  <c r="F217" i="1"/>
  <c r="K90" i="11" l="1"/>
  <c r="L89" i="11"/>
  <c r="K91" i="1"/>
  <c r="K44" i="1"/>
  <c r="K146" i="1"/>
  <c r="K67" i="1"/>
  <c r="E91" i="1"/>
  <c r="E67" i="1"/>
  <c r="E44" i="1"/>
  <c r="E146" i="1"/>
  <c r="E177" i="1"/>
  <c r="E6" i="12"/>
  <c r="K45" i="12"/>
  <c r="K6" i="12"/>
  <c r="L20" i="1"/>
  <c r="K217" i="1"/>
  <c r="K177" i="1"/>
  <c r="E217" i="1"/>
  <c r="P46" i="13"/>
  <c r="P45" i="13"/>
  <c r="D15" i="14"/>
  <c r="D10" i="14"/>
  <c r="D14" i="14"/>
  <c r="L91" i="1" l="1"/>
  <c r="L44" i="1"/>
  <c r="L146" i="1"/>
  <c r="L67" i="1"/>
  <c r="M89" i="11"/>
  <c r="L90" i="11"/>
  <c r="L45" i="12"/>
  <c r="L6" i="12"/>
  <c r="L217" i="1"/>
  <c r="M20" i="1"/>
  <c r="L177" i="1"/>
  <c r="B2" i="14"/>
  <c r="M91" i="1" l="1"/>
  <c r="M44" i="1"/>
  <c r="M146" i="1"/>
  <c r="M67" i="1"/>
  <c r="N89" i="11"/>
  <c r="M90" i="11"/>
  <c r="M45" i="12"/>
  <c r="M6" i="12"/>
  <c r="M217" i="1"/>
  <c r="M177" i="1"/>
  <c r="B30" i="8"/>
  <c r="C117" i="11"/>
  <c r="C131" i="11" s="1"/>
  <c r="N90" i="11" l="1"/>
  <c r="O89" i="11"/>
  <c r="I30" i="7"/>
  <c r="I27" i="7"/>
  <c r="I8" i="7"/>
  <c r="AF21" i="4"/>
  <c r="D18" i="11" s="1"/>
  <c r="I30" i="11" s="1"/>
  <c r="N30" i="11" s="1"/>
  <c r="D12" i="1"/>
  <c r="AA21" i="4"/>
  <c r="AA14" i="4"/>
  <c r="J102" i="1" l="1"/>
  <c r="L102" i="1"/>
  <c r="M102" i="1"/>
  <c r="I102" i="1"/>
  <c r="K102" i="1"/>
  <c r="P89" i="11"/>
  <c r="O90" i="11"/>
  <c r="V21" i="4"/>
  <c r="V14" i="4"/>
  <c r="Q21" i="4"/>
  <c r="Q18" i="4"/>
  <c r="Q17" i="4"/>
  <c r="Q14" i="4"/>
  <c r="J31" i="4"/>
  <c r="I31" i="4"/>
  <c r="J30" i="4"/>
  <c r="I30" i="4"/>
  <c r="J29" i="4"/>
  <c r="I29" i="4"/>
  <c r="L21" i="4"/>
  <c r="L14" i="4"/>
  <c r="I9" i="4"/>
  <c r="J9" i="4"/>
  <c r="E31" i="4"/>
  <c r="D31" i="4"/>
  <c r="E30" i="4"/>
  <c r="D30" i="4"/>
  <c r="E29" i="4"/>
  <c r="D29" i="4"/>
  <c r="G14" i="4"/>
  <c r="G17" i="4"/>
  <c r="P90" i="11" l="1"/>
  <c r="Q89" i="11"/>
  <c r="P31" i="13"/>
  <c r="P30" i="13"/>
  <c r="Q90" i="11" l="1"/>
  <c r="R89" i="11"/>
  <c r="R90" i="11" s="1"/>
  <c r="F17" i="12"/>
  <c r="G17" i="12"/>
  <c r="H17" i="12"/>
  <c r="E17" i="12"/>
  <c r="F14" i="12"/>
  <c r="G14" i="12"/>
  <c r="H14" i="12"/>
  <c r="E14" i="12"/>
  <c r="H11" i="12"/>
  <c r="G11" i="12"/>
  <c r="F11" i="12"/>
  <c r="E11" i="12"/>
  <c r="H8" i="12"/>
  <c r="G8" i="12"/>
  <c r="F8" i="12"/>
  <c r="E8" i="12"/>
  <c r="E9" i="12" s="1"/>
  <c r="C54" i="12"/>
  <c r="C49" i="12"/>
  <c r="C57" i="12"/>
  <c r="C52" i="12"/>
  <c r="C47" i="12"/>
  <c r="G15" i="12" l="1"/>
  <c r="F9" i="12"/>
  <c r="E18" i="12"/>
  <c r="F18" i="12"/>
  <c r="G9" i="12"/>
  <c r="H9" i="12"/>
  <c r="G12" i="12"/>
  <c r="H18" i="12"/>
  <c r="E15" i="12"/>
  <c r="F15" i="12"/>
  <c r="G18" i="12"/>
  <c r="H12" i="12"/>
  <c r="H15" i="12"/>
  <c r="F12" i="12"/>
  <c r="I44" i="12"/>
  <c r="F38" i="12" l="1"/>
  <c r="G38" i="12"/>
  <c r="H38" i="12"/>
  <c r="F39" i="12"/>
  <c r="G39" i="12"/>
  <c r="H39" i="12"/>
  <c r="E39" i="12"/>
  <c r="E38" i="12"/>
  <c r="C39" i="12"/>
  <c r="C37" i="12"/>
  <c r="C32" i="12"/>
  <c r="C31" i="12"/>
  <c r="C30" i="12"/>
  <c r="C28" i="12"/>
  <c r="C27" i="12"/>
  <c r="C25" i="12"/>
  <c r="C24" i="12"/>
  <c r="C22" i="12"/>
  <c r="C21" i="12"/>
  <c r="E5" i="12"/>
  <c r="I5" i="12"/>
  <c r="B3" i="12"/>
  <c r="B2" i="12"/>
  <c r="B109" i="13"/>
  <c r="B60" i="13"/>
  <c r="B2" i="13"/>
  <c r="X2" i="9" l="1"/>
  <c r="M12" i="1"/>
  <c r="M26" i="3"/>
  <c r="J26" i="3"/>
  <c r="G26" i="3"/>
  <c r="R8" i="3"/>
  <c r="M8" i="3"/>
  <c r="J8" i="3"/>
  <c r="AF5" i="4"/>
  <c r="AE5" i="4"/>
  <c r="AD5" i="4"/>
  <c r="AC5" i="4"/>
  <c r="AA5" i="4"/>
  <c r="Z5" i="4"/>
  <c r="Y5" i="4"/>
  <c r="X5" i="4"/>
  <c r="V5" i="4"/>
  <c r="U5" i="4"/>
  <c r="T5" i="4"/>
  <c r="S5" i="4"/>
  <c r="Q5" i="4"/>
  <c r="P5" i="4"/>
  <c r="O5" i="4"/>
  <c r="N5" i="4"/>
  <c r="L5" i="4"/>
  <c r="K5" i="4"/>
  <c r="J5" i="4"/>
  <c r="I5" i="4"/>
  <c r="B24" i="8" l="1"/>
  <c r="B12" i="8"/>
  <c r="B15" i="8"/>
  <c r="B18" i="8"/>
  <c r="B23" i="8"/>
  <c r="P10" i="5"/>
  <c r="O10" i="5"/>
  <c r="N10" i="5"/>
  <c r="I10" i="5"/>
  <c r="H10" i="5"/>
  <c r="P15" i="5"/>
  <c r="O15" i="5"/>
  <c r="N15" i="5"/>
  <c r="I15" i="5"/>
  <c r="H15" i="5"/>
  <c r="P14" i="5"/>
  <c r="O14" i="5"/>
  <c r="N14" i="5"/>
  <c r="I14" i="5"/>
  <c r="H14" i="5"/>
  <c r="P12" i="5"/>
  <c r="O12" i="5"/>
  <c r="N12" i="5"/>
  <c r="I12" i="5"/>
  <c r="H12" i="5"/>
  <c r="P11" i="5"/>
  <c r="O11" i="5"/>
  <c r="N11" i="5"/>
  <c r="I11" i="5"/>
  <c r="H11" i="5"/>
  <c r="F8" i="6" l="1"/>
  <c r="AF34" i="4"/>
  <c r="AF20" i="4"/>
  <c r="D17" i="11" s="1"/>
  <c r="I29" i="11" s="1"/>
  <c r="N29" i="11" s="1"/>
  <c r="AF14" i="4"/>
  <c r="AE11" i="4"/>
  <c r="AA20" i="4"/>
  <c r="Z53" i="4"/>
  <c r="U53" i="4"/>
  <c r="Q24" i="4"/>
  <c r="Q20" i="4" l="1"/>
  <c r="K9" i="4" l="1"/>
  <c r="K15" i="11" l="1"/>
  <c r="K14" i="11"/>
  <c r="K13" i="11"/>
  <c r="F15" i="11"/>
  <c r="F14" i="11"/>
  <c r="F13" i="11"/>
  <c r="N12" i="11" l="1"/>
  <c r="C49" i="11"/>
  <c r="C48" i="11"/>
  <c r="C47" i="11"/>
  <c r="B2" i="7"/>
  <c r="K24" i="11"/>
  <c r="K22" i="11"/>
  <c r="K21" i="11"/>
  <c r="K20" i="11"/>
  <c r="O46" i="11" l="1"/>
  <c r="R46" i="11"/>
  <c r="N46" i="11"/>
  <c r="P46" i="11"/>
  <c r="Q46" i="11"/>
  <c r="B2" i="11"/>
  <c r="H73" i="11" l="1"/>
  <c r="G73" i="11"/>
  <c r="F73" i="11"/>
  <c r="E73" i="11"/>
  <c r="H72" i="11"/>
  <c r="G72" i="11"/>
  <c r="F72" i="11"/>
  <c r="E72" i="11"/>
  <c r="H71" i="11"/>
  <c r="G71" i="11"/>
  <c r="F71" i="11"/>
  <c r="E71" i="11"/>
  <c r="H70" i="11"/>
  <c r="G70" i="11"/>
  <c r="F70" i="11"/>
  <c r="E70" i="11"/>
  <c r="H69" i="11"/>
  <c r="G69" i="11"/>
  <c r="F69" i="11"/>
  <c r="E69" i="11"/>
  <c r="C73" i="11"/>
  <c r="C72" i="11"/>
  <c r="C71" i="11"/>
  <c r="C70" i="11"/>
  <c r="C69" i="11"/>
  <c r="F59" i="11"/>
  <c r="G59" i="11"/>
  <c r="H59" i="11"/>
  <c r="F65" i="11"/>
  <c r="G65" i="11"/>
  <c r="H65" i="11"/>
  <c r="E65" i="11"/>
  <c r="E59" i="11"/>
  <c r="C65" i="11"/>
  <c r="C62" i="11"/>
  <c r="C59" i="11"/>
  <c r="E42" i="11"/>
  <c r="I42" i="11"/>
  <c r="D43" i="11"/>
  <c r="H74" i="11" l="1"/>
  <c r="G74" i="11"/>
  <c r="F74" i="11"/>
  <c r="E74" i="11"/>
  <c r="F221" i="1" l="1"/>
  <c r="G221" i="1"/>
  <c r="H221" i="1"/>
  <c r="E221" i="1"/>
  <c r="F224" i="1"/>
  <c r="G224" i="1"/>
  <c r="H224" i="1"/>
  <c r="I224" i="1"/>
  <c r="I188" i="1" s="1"/>
  <c r="E224" i="1"/>
  <c r="J160" i="1"/>
  <c r="K160" i="1" s="1"/>
  <c r="L160" i="1" s="1"/>
  <c r="M160" i="1" s="1"/>
  <c r="M224" i="1" s="1"/>
  <c r="L224" i="1" l="1"/>
  <c r="K224" i="1"/>
  <c r="J224" i="1"/>
  <c r="J188" i="1" s="1"/>
  <c r="F115" i="1"/>
  <c r="G115" i="1"/>
  <c r="H115" i="1"/>
  <c r="E115" i="1"/>
  <c r="K188" i="1" l="1"/>
  <c r="L188" i="1" s="1"/>
  <c r="M188" i="1" s="1"/>
  <c r="H135" i="1"/>
  <c r="G135" i="1"/>
  <c r="F135" i="1"/>
  <c r="E135" i="1"/>
  <c r="I248" i="1"/>
  <c r="J140" i="1"/>
  <c r="K140" i="1" s="1"/>
  <c r="H141" i="1"/>
  <c r="G141" i="1"/>
  <c r="F141" i="1"/>
  <c r="E141" i="1"/>
  <c r="H140" i="1"/>
  <c r="G140" i="1"/>
  <c r="F140" i="1"/>
  <c r="E140" i="1"/>
  <c r="I141" i="1" l="1"/>
  <c r="I249" i="1" s="1"/>
  <c r="L140" i="1"/>
  <c r="K248" i="1"/>
  <c r="J248" i="1"/>
  <c r="K244" i="1"/>
  <c r="J244" i="1"/>
  <c r="F138" i="1"/>
  <c r="G138" i="1"/>
  <c r="H138" i="1"/>
  <c r="E138" i="1"/>
  <c r="M244" i="1"/>
  <c r="L244" i="1"/>
  <c r="I244" i="1"/>
  <c r="H134" i="1"/>
  <c r="G134" i="1"/>
  <c r="F134" i="1"/>
  <c r="E134" i="1"/>
  <c r="I237" i="1"/>
  <c r="H126" i="1"/>
  <c r="G126" i="1"/>
  <c r="F126" i="1"/>
  <c r="E126" i="1"/>
  <c r="H125" i="1"/>
  <c r="G125" i="1"/>
  <c r="F125" i="1"/>
  <c r="E125" i="1"/>
  <c r="F119" i="1"/>
  <c r="G119" i="1"/>
  <c r="H119" i="1"/>
  <c r="E119" i="1"/>
  <c r="J161" i="1"/>
  <c r="J223" i="1" s="1"/>
  <c r="I223" i="1"/>
  <c r="F109" i="1"/>
  <c r="G109" i="1"/>
  <c r="H109" i="1"/>
  <c r="E109" i="1"/>
  <c r="D91" i="1"/>
  <c r="D45" i="12" l="1"/>
  <c r="D6" i="12"/>
  <c r="I138" i="1"/>
  <c r="J138" i="1" s="1"/>
  <c r="K138" i="1" s="1"/>
  <c r="L138" i="1" s="1"/>
  <c r="M138" i="1" s="1"/>
  <c r="J141" i="1"/>
  <c r="J249" i="1" s="1"/>
  <c r="I126" i="1"/>
  <c r="J126" i="1" s="1"/>
  <c r="K126" i="1" s="1"/>
  <c r="M140" i="1"/>
  <c r="M248" i="1" s="1"/>
  <c r="L248" i="1"/>
  <c r="J237" i="1"/>
  <c r="K237" i="1"/>
  <c r="I119" i="1"/>
  <c r="J119" i="1" s="1"/>
  <c r="K119" i="1" s="1"/>
  <c r="L119" i="1" s="1"/>
  <c r="M119" i="1" s="1"/>
  <c r="K161" i="1"/>
  <c r="K141" i="1" l="1"/>
  <c r="L141" i="1" s="1"/>
  <c r="I238" i="1"/>
  <c r="I189" i="1" s="1"/>
  <c r="J238" i="1"/>
  <c r="I242" i="1"/>
  <c r="I170" i="1" s="1"/>
  <c r="L126" i="1"/>
  <c r="K238" i="1"/>
  <c r="M237" i="1"/>
  <c r="L237" i="1"/>
  <c r="L161" i="1"/>
  <c r="K223" i="1"/>
  <c r="K249" i="1" l="1"/>
  <c r="J189" i="1"/>
  <c r="K189" i="1" s="1"/>
  <c r="M141" i="1"/>
  <c r="M249" i="1" s="1"/>
  <c r="L249" i="1"/>
  <c r="J242" i="1"/>
  <c r="J170" i="1" s="1"/>
  <c r="M126" i="1"/>
  <c r="M238" i="1" s="1"/>
  <c r="L238" i="1"/>
  <c r="M161" i="1"/>
  <c r="M223" i="1" s="1"/>
  <c r="L223" i="1"/>
  <c r="L189" i="1" l="1"/>
  <c r="M189" i="1" s="1"/>
  <c r="K242" i="1"/>
  <c r="K170" i="1" s="1"/>
  <c r="M242" i="1" l="1"/>
  <c r="L242" i="1"/>
  <c r="L170" i="1" s="1"/>
  <c r="B2" i="1"/>
  <c r="F23" i="1"/>
  <c r="G23" i="1"/>
  <c r="H23" i="1"/>
  <c r="E26" i="1"/>
  <c r="E33" i="1" s="1"/>
  <c r="F26" i="1"/>
  <c r="G26" i="1"/>
  <c r="E28" i="1"/>
  <c r="F28" i="1"/>
  <c r="G28" i="1"/>
  <c r="H28" i="1"/>
  <c r="I25" i="1"/>
  <c r="C34" i="1"/>
  <c r="C35" i="1"/>
  <c r="C36" i="1"/>
  <c r="E38" i="1"/>
  <c r="F38" i="1"/>
  <c r="G38" i="1"/>
  <c r="H38" i="1"/>
  <c r="E42" i="1"/>
  <c r="F42" i="1"/>
  <c r="G42" i="1"/>
  <c r="H42" i="1"/>
  <c r="E46" i="1"/>
  <c r="F46" i="1"/>
  <c r="G46" i="1"/>
  <c r="H46" i="1"/>
  <c r="E56" i="1"/>
  <c r="E51" i="1"/>
  <c r="F51" i="1"/>
  <c r="G51" i="1"/>
  <c r="H51" i="1"/>
  <c r="I64" i="1"/>
  <c r="C57" i="1"/>
  <c r="C58" i="1"/>
  <c r="C59" i="1"/>
  <c r="E62" i="1"/>
  <c r="F62" i="1"/>
  <c r="G62" i="1"/>
  <c r="H62" i="1"/>
  <c r="E65" i="1"/>
  <c r="F65" i="1"/>
  <c r="G65" i="1"/>
  <c r="H65" i="1"/>
  <c r="E69" i="1"/>
  <c r="F69" i="1"/>
  <c r="G69" i="1"/>
  <c r="H69" i="1"/>
  <c r="E72" i="1"/>
  <c r="E79" i="1" s="1"/>
  <c r="F72" i="1"/>
  <c r="G72" i="1"/>
  <c r="H72" i="1"/>
  <c r="E74" i="1"/>
  <c r="F74" i="1"/>
  <c r="G74" i="1"/>
  <c r="H74" i="1"/>
  <c r="I71" i="1"/>
  <c r="C80" i="1"/>
  <c r="C81" i="1"/>
  <c r="C82" i="1"/>
  <c r="E85" i="1"/>
  <c r="F85" i="1"/>
  <c r="G85" i="1"/>
  <c r="H85" i="1"/>
  <c r="E88" i="1"/>
  <c r="F88" i="1"/>
  <c r="G88" i="1"/>
  <c r="H88" i="1"/>
  <c r="E96" i="1"/>
  <c r="F96" i="1"/>
  <c r="G96" i="1"/>
  <c r="H96" i="1"/>
  <c r="F98" i="1"/>
  <c r="G98" i="1"/>
  <c r="H98" i="1"/>
  <c r="F99" i="1"/>
  <c r="G99" i="1"/>
  <c r="H99" i="1"/>
  <c r="F100" i="1"/>
  <c r="G100" i="1"/>
  <c r="H100" i="1"/>
  <c r="I100" i="1" s="1"/>
  <c r="I159" i="1" s="1"/>
  <c r="E148" i="1"/>
  <c r="E150" i="1" s="1"/>
  <c r="E94" i="1" s="1"/>
  <c r="F148" i="1"/>
  <c r="F150" i="1" s="1"/>
  <c r="G148" i="1"/>
  <c r="G150" i="1" s="1"/>
  <c r="G94" i="1" s="1"/>
  <c r="H148" i="1"/>
  <c r="H150" i="1" s="1"/>
  <c r="H94" i="1" s="1"/>
  <c r="I149" i="1"/>
  <c r="J149" i="1" s="1"/>
  <c r="K149" i="1" s="1"/>
  <c r="L149" i="1" s="1"/>
  <c r="M149" i="1" s="1"/>
  <c r="E153" i="1"/>
  <c r="E162" i="1"/>
  <c r="F162" i="1"/>
  <c r="G162" i="1"/>
  <c r="H162" i="1"/>
  <c r="D177" i="1"/>
  <c r="D217" i="1"/>
  <c r="E223" i="1"/>
  <c r="F223" i="1"/>
  <c r="G223" i="1"/>
  <c r="H223" i="1"/>
  <c r="E236" i="1"/>
  <c r="F236" i="1"/>
  <c r="G236" i="1"/>
  <c r="H236" i="1"/>
  <c r="E32" i="12"/>
  <c r="F32" i="12"/>
  <c r="G32" i="12"/>
  <c r="H32" i="12"/>
  <c r="F25" i="12" l="1"/>
  <c r="F94" i="1"/>
  <c r="G22" i="12"/>
  <c r="K33" i="1"/>
  <c r="M33" i="1"/>
  <c r="J33" i="1"/>
  <c r="L33" i="1"/>
  <c r="I33" i="1"/>
  <c r="I26" i="1" s="1"/>
  <c r="J79" i="1"/>
  <c r="I79" i="1"/>
  <c r="I72" i="1" s="1"/>
  <c r="M79" i="1"/>
  <c r="L79" i="1"/>
  <c r="K79" i="1"/>
  <c r="I56" i="1"/>
  <c r="I49" i="1" s="1"/>
  <c r="J56" i="1"/>
  <c r="M56" i="1"/>
  <c r="L56" i="1"/>
  <c r="K56" i="1"/>
  <c r="E25" i="12"/>
  <c r="F34" i="12"/>
  <c r="F239" i="1"/>
  <c r="F31" i="12" s="1"/>
  <c r="E34" i="12"/>
  <c r="E239" i="1"/>
  <c r="E31" i="12" s="1"/>
  <c r="G34" i="12"/>
  <c r="G239" i="1"/>
  <c r="G31" i="12" s="1"/>
  <c r="H34" i="12"/>
  <c r="H239" i="1"/>
  <c r="H31" i="12" s="1"/>
  <c r="F22" i="12"/>
  <c r="H25" i="12"/>
  <c r="G25" i="12"/>
  <c r="H22" i="12"/>
  <c r="E24" i="12"/>
  <c r="F24" i="12"/>
  <c r="F21" i="12"/>
  <c r="H24" i="12"/>
  <c r="H21" i="12"/>
  <c r="G21" i="12"/>
  <c r="G24" i="12"/>
  <c r="E21" i="12"/>
  <c r="I11" i="12"/>
  <c r="H173" i="1"/>
  <c r="G51" i="11"/>
  <c r="G54" i="11" s="1"/>
  <c r="G62" i="11" s="1"/>
  <c r="G63" i="11" s="1"/>
  <c r="G173" i="1"/>
  <c r="E45" i="11"/>
  <c r="E75" i="11" s="1"/>
  <c r="E22" i="12"/>
  <c r="F51" i="11"/>
  <c r="F94" i="11" s="1"/>
  <c r="F173" i="1"/>
  <c r="E51" i="11"/>
  <c r="E94" i="11" s="1"/>
  <c r="E95" i="11" s="1"/>
  <c r="E173" i="1"/>
  <c r="G45" i="11"/>
  <c r="G66" i="11" s="1"/>
  <c r="F45" i="11"/>
  <c r="F66" i="11" s="1"/>
  <c r="F77" i="11"/>
  <c r="H77" i="11"/>
  <c r="E77" i="11"/>
  <c r="AE6" i="4"/>
  <c r="H45" i="11"/>
  <c r="AE9" i="4"/>
  <c r="H51" i="11"/>
  <c r="G77" i="11"/>
  <c r="H43" i="11"/>
  <c r="J100" i="1"/>
  <c r="K100" i="1" s="1"/>
  <c r="L100" i="1" s="1"/>
  <c r="M100" i="1" s="1"/>
  <c r="H143" i="1"/>
  <c r="H128" i="1"/>
  <c r="F143" i="1"/>
  <c r="F128" i="1"/>
  <c r="E143" i="1"/>
  <c r="E128" i="1"/>
  <c r="G143" i="1"/>
  <c r="G128" i="1"/>
  <c r="M170" i="1"/>
  <c r="I202" i="1"/>
  <c r="E120" i="1"/>
  <c r="E118" i="1"/>
  <c r="F120" i="1"/>
  <c r="F118" i="1"/>
  <c r="H120" i="1"/>
  <c r="H118" i="1"/>
  <c r="G120" i="1"/>
  <c r="G118" i="1"/>
  <c r="F113" i="1"/>
  <c r="F112" i="1"/>
  <c r="E113" i="1"/>
  <c r="E112" i="1"/>
  <c r="H113" i="1"/>
  <c r="H112" i="1"/>
  <c r="G112" i="1"/>
  <c r="G113" i="1"/>
  <c r="E106" i="1"/>
  <c r="E110" i="1"/>
  <c r="F106" i="1"/>
  <c r="F110" i="1"/>
  <c r="H106" i="1"/>
  <c r="H110" i="1"/>
  <c r="G106" i="1"/>
  <c r="G110" i="1"/>
  <c r="F79" i="1"/>
  <c r="F192" i="1"/>
  <c r="E164" i="1"/>
  <c r="E166" i="1" s="1"/>
  <c r="H123" i="1"/>
  <c r="I98" i="1"/>
  <c r="F56" i="1"/>
  <c r="E192" i="1"/>
  <c r="E37" i="12" s="1"/>
  <c r="F164" i="1"/>
  <c r="H192" i="1"/>
  <c r="G123" i="1"/>
  <c r="G79" i="1"/>
  <c r="F123" i="1"/>
  <c r="E123" i="1"/>
  <c r="F33" i="1"/>
  <c r="J71" i="1"/>
  <c r="K71" i="1" s="1"/>
  <c r="K87" i="1" s="1"/>
  <c r="J25" i="1"/>
  <c r="I99" i="1"/>
  <c r="I158" i="1" s="1"/>
  <c r="G192" i="1"/>
  <c r="H164" i="1"/>
  <c r="G164" i="1"/>
  <c r="G56" i="1"/>
  <c r="G33" i="1"/>
  <c r="H56" i="1"/>
  <c r="J64" i="1"/>
  <c r="I41" i="1"/>
  <c r="I87" i="1"/>
  <c r="H79" i="1"/>
  <c r="H33" i="1"/>
  <c r="J49" i="1" l="1"/>
  <c r="K49" i="1" s="1"/>
  <c r="L49" i="1" s="1"/>
  <c r="M49" i="1" s="1"/>
  <c r="J98" i="1"/>
  <c r="K98" i="1" s="1"/>
  <c r="L98" i="1" s="1"/>
  <c r="M98" i="1" s="1"/>
  <c r="I157" i="1"/>
  <c r="E35" i="12"/>
  <c r="F35" i="12"/>
  <c r="G35" i="12"/>
  <c r="H35" i="12"/>
  <c r="H37" i="12"/>
  <c r="H214" i="1"/>
  <c r="F37" i="12"/>
  <c r="F214" i="1"/>
  <c r="G37" i="12"/>
  <c r="G214" i="1"/>
  <c r="P78" i="13"/>
  <c r="Q62" i="13"/>
  <c r="B87" i="4"/>
  <c r="S5" i="3" s="1"/>
  <c r="Q63" i="13"/>
  <c r="E54" i="11"/>
  <c r="E62" i="11" s="1"/>
  <c r="E63" i="11" s="1"/>
  <c r="I17" i="12"/>
  <c r="G78" i="11"/>
  <c r="E78" i="11"/>
  <c r="G42" i="12"/>
  <c r="G41" i="12"/>
  <c r="J11" i="12"/>
  <c r="G94" i="11"/>
  <c r="G95" i="11" s="1"/>
  <c r="H42" i="12"/>
  <c r="H41" i="12"/>
  <c r="F78" i="11"/>
  <c r="E42" i="12"/>
  <c r="E41" i="12"/>
  <c r="F75" i="11"/>
  <c r="E60" i="11"/>
  <c r="F46" i="11"/>
  <c r="F42" i="12"/>
  <c r="F41" i="12"/>
  <c r="E66" i="11"/>
  <c r="F60" i="11"/>
  <c r="E46" i="11"/>
  <c r="F52" i="11"/>
  <c r="G75" i="11"/>
  <c r="G52" i="11"/>
  <c r="G60" i="11"/>
  <c r="F54" i="11"/>
  <c r="F62" i="11" s="1"/>
  <c r="F63" i="11" s="1"/>
  <c r="E52" i="11"/>
  <c r="G46" i="11"/>
  <c r="H78" i="11"/>
  <c r="G56" i="11"/>
  <c r="G80" i="11" s="1"/>
  <c r="F95" i="11"/>
  <c r="H60" i="11"/>
  <c r="H66" i="11"/>
  <c r="H46" i="11"/>
  <c r="H75" i="11"/>
  <c r="H52" i="11"/>
  <c r="H94" i="11"/>
  <c r="H54" i="11"/>
  <c r="H62" i="11" s="1"/>
  <c r="H63" i="11" s="1"/>
  <c r="I43" i="11"/>
  <c r="G43" i="11"/>
  <c r="I128" i="1"/>
  <c r="J128" i="1" s="1"/>
  <c r="I143" i="1"/>
  <c r="J143" i="1" s="1"/>
  <c r="K143" i="1" s="1"/>
  <c r="L143" i="1" s="1"/>
  <c r="M143" i="1" s="1"/>
  <c r="J99" i="1"/>
  <c r="K25" i="1"/>
  <c r="J202" i="1"/>
  <c r="I245" i="1"/>
  <c r="E103" i="1"/>
  <c r="E137" i="1"/>
  <c r="E102" i="1"/>
  <c r="I120" i="1"/>
  <c r="J120" i="1" s="1"/>
  <c r="K120" i="1" s="1"/>
  <c r="L120" i="1" s="1"/>
  <c r="M120" i="1" s="1"/>
  <c r="J87" i="1"/>
  <c r="I113" i="1"/>
  <c r="J113" i="1" s="1"/>
  <c r="K113" i="1" s="1"/>
  <c r="L113" i="1" s="1"/>
  <c r="M113" i="1" s="1"/>
  <c r="I123" i="1"/>
  <c r="J123" i="1" s="1"/>
  <c r="K123" i="1" s="1"/>
  <c r="E214" i="1"/>
  <c r="E168" i="1"/>
  <c r="E27" i="12" s="1"/>
  <c r="F166" i="1"/>
  <c r="F137" i="1" s="1"/>
  <c r="F102" i="1"/>
  <c r="I94" i="1"/>
  <c r="J94" i="1" s="1"/>
  <c r="K94" i="1" s="1"/>
  <c r="L94" i="1" s="1"/>
  <c r="M94" i="1" s="1"/>
  <c r="J41" i="1"/>
  <c r="H166" i="1"/>
  <c r="H102" i="1"/>
  <c r="G166" i="1"/>
  <c r="G137" i="1" s="1"/>
  <c r="G102" i="1"/>
  <c r="I45" i="1"/>
  <c r="I68" i="1"/>
  <c r="J72" i="1"/>
  <c r="L71" i="1"/>
  <c r="L87" i="1" s="1"/>
  <c r="I22" i="1"/>
  <c r="I23" i="1" s="1"/>
  <c r="J26" i="1"/>
  <c r="K202" i="1" l="1"/>
  <c r="K99" i="1"/>
  <c r="J158" i="1"/>
  <c r="L123" i="1"/>
  <c r="E56" i="11"/>
  <c r="E80" i="11" s="1"/>
  <c r="E81" i="11" s="1"/>
  <c r="P63" i="13"/>
  <c r="P77" i="13"/>
  <c r="P81" i="13"/>
  <c r="R63" i="13"/>
  <c r="R62" i="13"/>
  <c r="B88" i="4"/>
  <c r="T5" i="3" s="1"/>
  <c r="P80" i="13"/>
  <c r="P62" i="13"/>
  <c r="I8" i="12"/>
  <c r="H107" i="1"/>
  <c r="K41" i="1"/>
  <c r="K11" i="12"/>
  <c r="H95" i="11"/>
  <c r="J17" i="12"/>
  <c r="F56" i="11"/>
  <c r="F80" i="11" s="1"/>
  <c r="H56" i="11"/>
  <c r="H80" i="11" s="1"/>
  <c r="H81" i="11" s="1"/>
  <c r="G107" i="1"/>
  <c r="F43" i="11"/>
  <c r="J43" i="11"/>
  <c r="E171" i="1"/>
  <c r="E28" i="12" s="1"/>
  <c r="E219" i="1"/>
  <c r="E233" i="1" s="1"/>
  <c r="K128" i="1"/>
  <c r="L25" i="1"/>
  <c r="J245" i="1"/>
  <c r="H168" i="1"/>
  <c r="H137" i="1"/>
  <c r="I137" i="1"/>
  <c r="J137" i="1" s="1"/>
  <c r="K137" i="1" s="1"/>
  <c r="L137" i="1" s="1"/>
  <c r="M137" i="1" s="1"/>
  <c r="F103" i="1"/>
  <c r="F168" i="1"/>
  <c r="F27" i="12" s="1"/>
  <c r="G103" i="1"/>
  <c r="G168" i="1"/>
  <c r="G27" i="12" s="1"/>
  <c r="H103" i="1"/>
  <c r="I46" i="1"/>
  <c r="I61" i="1"/>
  <c r="K72" i="1"/>
  <c r="J68" i="1"/>
  <c r="I69" i="1"/>
  <c r="I84" i="1"/>
  <c r="J22" i="1"/>
  <c r="J23" i="1" s="1"/>
  <c r="K26" i="1"/>
  <c r="L64" i="1"/>
  <c r="I148" i="1"/>
  <c r="I150" i="1" s="1"/>
  <c r="I151" i="1" s="1"/>
  <c r="I39" i="1"/>
  <c r="K64" i="1"/>
  <c r="M71" i="1"/>
  <c r="M87" i="1" s="1"/>
  <c r="J45" i="1"/>
  <c r="L202" i="1" l="1"/>
  <c r="L99" i="1"/>
  <c r="K158" i="1"/>
  <c r="M123" i="1"/>
  <c r="F81" i="11"/>
  <c r="E254" i="1"/>
  <c r="E30" i="12"/>
  <c r="G81" i="11"/>
  <c r="I14" i="12"/>
  <c r="I15" i="12" s="1"/>
  <c r="K17" i="12"/>
  <c r="AE7" i="4"/>
  <c r="H27" i="12"/>
  <c r="I21" i="12"/>
  <c r="M25" i="1"/>
  <c r="L11" i="12"/>
  <c r="J8" i="12"/>
  <c r="J18" i="12" s="1"/>
  <c r="I12" i="12"/>
  <c r="I9" i="12"/>
  <c r="I18" i="12"/>
  <c r="I45" i="11"/>
  <c r="I46" i="11" s="1"/>
  <c r="AC29" i="4"/>
  <c r="E43" i="11"/>
  <c r="K43" i="11"/>
  <c r="L128" i="1"/>
  <c r="F171" i="1"/>
  <c r="F28" i="12" s="1"/>
  <c r="F219" i="1"/>
  <c r="F233" i="1" s="1"/>
  <c r="I252" i="1"/>
  <c r="G171" i="1"/>
  <c r="G28" i="12" s="1"/>
  <c r="G219" i="1"/>
  <c r="G233" i="1" s="1"/>
  <c r="H171" i="1"/>
  <c r="H28" i="12" s="1"/>
  <c r="H219" i="1"/>
  <c r="H233" i="1" s="1"/>
  <c r="L41" i="1"/>
  <c r="K245" i="1"/>
  <c r="I226" i="1"/>
  <c r="I65" i="11" s="1"/>
  <c r="I222" i="1"/>
  <c r="I59" i="11" s="1"/>
  <c r="I182" i="1"/>
  <c r="I122" i="1"/>
  <c r="I236" i="1" s="1"/>
  <c r="I239" i="1" s="1"/>
  <c r="I93" i="1"/>
  <c r="J69" i="1"/>
  <c r="J84" i="1"/>
  <c r="L72" i="1"/>
  <c r="K68" i="1"/>
  <c r="K22" i="1"/>
  <c r="K23" i="1" s="1"/>
  <c r="L26" i="1"/>
  <c r="J39" i="1"/>
  <c r="J148" i="1"/>
  <c r="J150" i="1" s="1"/>
  <c r="J151" i="1" s="1"/>
  <c r="K45" i="1"/>
  <c r="J46" i="1"/>
  <c r="J61" i="1"/>
  <c r="M64" i="1"/>
  <c r="M202" i="1" l="1"/>
  <c r="L158" i="1"/>
  <c r="M99" i="1"/>
  <c r="M158" i="1" s="1"/>
  <c r="I229" i="1"/>
  <c r="I70" i="11" s="1"/>
  <c r="I153" i="1"/>
  <c r="I154" i="1" s="1"/>
  <c r="E256" i="1"/>
  <c r="F255" i="1" s="1"/>
  <c r="I34" i="12"/>
  <c r="I35" i="12" s="1"/>
  <c r="M41" i="1"/>
  <c r="L17" i="12"/>
  <c r="I22" i="12"/>
  <c r="I60" i="11"/>
  <c r="H254" i="1"/>
  <c r="H30" i="12"/>
  <c r="E107" i="1"/>
  <c r="G254" i="1"/>
  <c r="G30" i="12"/>
  <c r="F107" i="1"/>
  <c r="F254" i="1"/>
  <c r="F30" i="12"/>
  <c r="I66" i="11"/>
  <c r="J9" i="12"/>
  <c r="J12" i="12"/>
  <c r="J21" i="12"/>
  <c r="J14" i="12"/>
  <c r="J15" i="12" s="1"/>
  <c r="M11" i="12"/>
  <c r="K8" i="12"/>
  <c r="K18" i="12" s="1"/>
  <c r="J45" i="11"/>
  <c r="J46" i="11" s="1"/>
  <c r="AD29" i="4"/>
  <c r="I77" i="11"/>
  <c r="I78" i="11" s="1"/>
  <c r="L43" i="11"/>
  <c r="J252" i="1"/>
  <c r="M128" i="1"/>
  <c r="I187" i="1"/>
  <c r="I190" i="1" s="1"/>
  <c r="L245" i="1"/>
  <c r="J222" i="1"/>
  <c r="J59" i="11" s="1"/>
  <c r="J226" i="1"/>
  <c r="J65" i="11" s="1"/>
  <c r="J182" i="1"/>
  <c r="J229" i="1" s="1"/>
  <c r="J122" i="1"/>
  <c r="J236" i="1" s="1"/>
  <c r="J239" i="1" s="1"/>
  <c r="J93" i="1"/>
  <c r="L68" i="1"/>
  <c r="M72" i="1"/>
  <c r="M68" i="1" s="1"/>
  <c r="L22" i="1"/>
  <c r="L23" i="1" s="1"/>
  <c r="M26" i="1"/>
  <c r="M22" i="1" s="1"/>
  <c r="K69" i="1"/>
  <c r="K84" i="1"/>
  <c r="L45" i="1"/>
  <c r="M45" i="1"/>
  <c r="K46" i="1"/>
  <c r="K61" i="1"/>
  <c r="K148" i="1"/>
  <c r="K150" i="1" s="1"/>
  <c r="K151" i="1" s="1"/>
  <c r="K39" i="1"/>
  <c r="I173" i="1" l="1"/>
  <c r="I174" i="1" s="1"/>
  <c r="M23" i="1"/>
  <c r="I129" i="1"/>
  <c r="I51" i="11"/>
  <c r="I94" i="11" s="1"/>
  <c r="I95" i="11" s="1"/>
  <c r="I24" i="12"/>
  <c r="AC30" i="4"/>
  <c r="K122" i="1"/>
  <c r="K236" i="1" s="1"/>
  <c r="K239" i="1" s="1"/>
  <c r="I183" i="1"/>
  <c r="I196" i="1"/>
  <c r="I231" i="1" s="1"/>
  <c r="I72" i="11" s="1"/>
  <c r="I197" i="1"/>
  <c r="I232" i="1" s="1"/>
  <c r="I73" i="11" s="1"/>
  <c r="J70" i="11"/>
  <c r="J153" i="1"/>
  <c r="F256" i="1"/>
  <c r="G255" i="1" s="1"/>
  <c r="G256" i="1" s="1"/>
  <c r="H255" i="1" s="1"/>
  <c r="I107" i="1"/>
  <c r="J107" i="1" s="1"/>
  <c r="J106" i="1" s="1"/>
  <c r="J181" i="1" s="1"/>
  <c r="I25" i="12"/>
  <c r="J34" i="12"/>
  <c r="J35" i="12" s="1"/>
  <c r="M17" i="12"/>
  <c r="I31" i="12"/>
  <c r="J22" i="12"/>
  <c r="K12" i="12"/>
  <c r="K9" i="12"/>
  <c r="M8" i="12"/>
  <c r="L8" i="12"/>
  <c r="K14" i="12"/>
  <c r="K15" i="12" s="1"/>
  <c r="K21" i="12"/>
  <c r="J66" i="11"/>
  <c r="J60" i="11"/>
  <c r="K45" i="11"/>
  <c r="K46" i="11" s="1"/>
  <c r="AE29" i="4"/>
  <c r="J77" i="11"/>
  <c r="J78" i="11" s="1"/>
  <c r="M43" i="11"/>
  <c r="N43" i="11" s="1"/>
  <c r="O43" i="11" s="1"/>
  <c r="P43" i="11" s="1"/>
  <c r="Q43" i="11" s="1"/>
  <c r="R43" i="11" s="1"/>
  <c r="K252" i="1"/>
  <c r="J187" i="1"/>
  <c r="J190" i="1" s="1"/>
  <c r="M245" i="1"/>
  <c r="K222" i="1"/>
  <c r="K59" i="11" s="1"/>
  <c r="K226" i="1"/>
  <c r="K65" i="11" s="1"/>
  <c r="K182" i="1"/>
  <c r="K229" i="1" s="1"/>
  <c r="K93" i="1"/>
  <c r="L46" i="1"/>
  <c r="L61" i="1"/>
  <c r="L69" i="1"/>
  <c r="L84" i="1"/>
  <c r="M39" i="1"/>
  <c r="M148" i="1"/>
  <c r="M150" i="1" s="1"/>
  <c r="M61" i="1"/>
  <c r="M46" i="1"/>
  <c r="L148" i="1"/>
  <c r="L150" i="1" s="1"/>
  <c r="L151" i="1" s="1"/>
  <c r="L39" i="1"/>
  <c r="M84" i="1"/>
  <c r="M69" i="1"/>
  <c r="M151" i="1" l="1"/>
  <c r="J183" i="1"/>
  <c r="J230" i="1" s="1"/>
  <c r="J71" i="11" s="1"/>
  <c r="J154" i="1"/>
  <c r="J25" i="12" s="1"/>
  <c r="M122" i="1"/>
  <c r="M236" i="1" s="1"/>
  <c r="M239" i="1" s="1"/>
  <c r="I41" i="12"/>
  <c r="I198" i="1"/>
  <c r="J24" i="12"/>
  <c r="J51" i="11"/>
  <c r="J94" i="11" s="1"/>
  <c r="J95" i="11" s="1"/>
  <c r="J129" i="1"/>
  <c r="AD30" i="4"/>
  <c r="I54" i="11"/>
  <c r="I56" i="11" s="1"/>
  <c r="I52" i="11"/>
  <c r="I230" i="1"/>
  <c r="I71" i="11" s="1"/>
  <c r="J197" i="1"/>
  <c r="J232" i="1" s="1"/>
  <c r="J73" i="11" s="1"/>
  <c r="J173" i="1"/>
  <c r="J174" i="1" s="1"/>
  <c r="L122" i="1"/>
  <c r="L236" i="1" s="1"/>
  <c r="L239" i="1" s="1"/>
  <c r="J196" i="1"/>
  <c r="J231" i="1" s="1"/>
  <c r="J72" i="11" s="1"/>
  <c r="K70" i="11"/>
  <c r="K153" i="1"/>
  <c r="H256" i="1"/>
  <c r="I255" i="1" s="1"/>
  <c r="K107" i="1"/>
  <c r="K106" i="1" s="1"/>
  <c r="I106" i="1"/>
  <c r="L21" i="12"/>
  <c r="K22" i="12"/>
  <c r="K34" i="12"/>
  <c r="K35" i="12" s="1"/>
  <c r="I42" i="12"/>
  <c r="J31" i="12"/>
  <c r="M21" i="12"/>
  <c r="L14" i="12"/>
  <c r="L15" i="12" s="1"/>
  <c r="M14" i="12"/>
  <c r="M15" i="12" s="1"/>
  <c r="L12" i="12"/>
  <c r="L9" i="12"/>
  <c r="L18" i="12"/>
  <c r="M9" i="12"/>
  <c r="M12" i="12"/>
  <c r="M18" i="12"/>
  <c r="L45" i="11"/>
  <c r="L46" i="11" s="1"/>
  <c r="K66" i="11"/>
  <c r="K60" i="11"/>
  <c r="K77" i="11"/>
  <c r="K78" i="11" s="1"/>
  <c r="M252" i="1"/>
  <c r="M45" i="11"/>
  <c r="N45" i="11" s="1"/>
  <c r="O45" i="11" s="1"/>
  <c r="P45" i="11" s="1"/>
  <c r="Q45" i="11" s="1"/>
  <c r="R45" i="11" s="1"/>
  <c r="L252" i="1"/>
  <c r="K187" i="1"/>
  <c r="K190" i="1" s="1"/>
  <c r="L226" i="1"/>
  <c r="L65" i="11" s="1"/>
  <c r="L222" i="1"/>
  <c r="L59" i="11" s="1"/>
  <c r="M226" i="1"/>
  <c r="M65" i="11" s="1"/>
  <c r="M222" i="1"/>
  <c r="M59" i="11" s="1"/>
  <c r="M182" i="1"/>
  <c r="L182" i="1"/>
  <c r="M93" i="1"/>
  <c r="M153" i="1" s="1"/>
  <c r="M154" i="1" s="1"/>
  <c r="L93" i="1"/>
  <c r="L153" i="1" s="1"/>
  <c r="L154" i="1" s="1"/>
  <c r="K173" i="1" l="1"/>
  <c r="K174" i="1" s="1"/>
  <c r="K154" i="1"/>
  <c r="K25" i="12" s="1"/>
  <c r="I181" i="1"/>
  <c r="I228" i="1" s="1"/>
  <c r="I69" i="11" s="1"/>
  <c r="I74" i="11" s="1"/>
  <c r="I75" i="11" s="1"/>
  <c r="K181" i="1"/>
  <c r="K228" i="1" s="1"/>
  <c r="K69" i="11" s="1"/>
  <c r="J54" i="11"/>
  <c r="J56" i="11" s="1"/>
  <c r="J52" i="11"/>
  <c r="M229" i="1"/>
  <c r="M70" i="11" s="1"/>
  <c r="J41" i="12"/>
  <c r="I62" i="11"/>
  <c r="I63" i="11" s="1"/>
  <c r="J198" i="1"/>
  <c r="AE30" i="4"/>
  <c r="L229" i="1"/>
  <c r="L70" i="11" s="1"/>
  <c r="K129" i="1"/>
  <c r="K51" i="11"/>
  <c r="K94" i="11" s="1"/>
  <c r="K95" i="11" s="1"/>
  <c r="K24" i="12"/>
  <c r="K196" i="1"/>
  <c r="K231" i="1" s="1"/>
  <c r="K72" i="11" s="1"/>
  <c r="K197" i="1"/>
  <c r="K232" i="1" s="1"/>
  <c r="K73" i="11" s="1"/>
  <c r="K183" i="1"/>
  <c r="L107" i="1"/>
  <c r="M107" i="1" s="1"/>
  <c r="M106" i="1" s="1"/>
  <c r="M181" i="1" s="1"/>
  <c r="M22" i="12"/>
  <c r="L34" i="12"/>
  <c r="L35" i="12" s="1"/>
  <c r="P24" i="13"/>
  <c r="L24" i="12"/>
  <c r="K31" i="12"/>
  <c r="L22" i="12"/>
  <c r="M24" i="12"/>
  <c r="M34" i="12"/>
  <c r="M35" i="12" s="1"/>
  <c r="L66" i="11"/>
  <c r="J42" i="12"/>
  <c r="L60" i="11"/>
  <c r="M173" i="1"/>
  <c r="M174" i="1" s="1"/>
  <c r="L173" i="1"/>
  <c r="L174" i="1" s="1"/>
  <c r="M66" i="11"/>
  <c r="N66" i="11" s="1"/>
  <c r="M60" i="11"/>
  <c r="N60" i="11" s="1"/>
  <c r="L77" i="11"/>
  <c r="L78" i="11" s="1"/>
  <c r="M77" i="11"/>
  <c r="M78" i="11" s="1"/>
  <c r="N78" i="11" s="1"/>
  <c r="M46" i="11"/>
  <c r="L129" i="1"/>
  <c r="L51" i="11"/>
  <c r="M129" i="1"/>
  <c r="M51" i="11"/>
  <c r="L187" i="1"/>
  <c r="L190" i="1" s="1"/>
  <c r="L197" i="1"/>
  <c r="L183" i="1"/>
  <c r="M196" i="1"/>
  <c r="L196" i="1"/>
  <c r="M197" i="1"/>
  <c r="M183" i="1"/>
  <c r="J228" i="1" l="1"/>
  <c r="J69" i="11" s="1"/>
  <c r="J74" i="11" s="1"/>
  <c r="J75" i="11" s="1"/>
  <c r="K41" i="12"/>
  <c r="J62" i="11"/>
  <c r="J63" i="11" s="1"/>
  <c r="K54" i="11"/>
  <c r="K62" i="11" s="1"/>
  <c r="K63" i="11" s="1"/>
  <c r="I80" i="11"/>
  <c r="I81" i="11" s="1"/>
  <c r="L198" i="1"/>
  <c r="K52" i="11"/>
  <c r="L106" i="1"/>
  <c r="M198" i="1"/>
  <c r="K198" i="1"/>
  <c r="L230" i="1"/>
  <c r="L71" i="11" s="1"/>
  <c r="K230" i="1"/>
  <c r="K71" i="11" s="1"/>
  <c r="K74" i="11" s="1"/>
  <c r="K75" i="11" s="1"/>
  <c r="M230" i="1"/>
  <c r="M71" i="11" s="1"/>
  <c r="O78" i="11"/>
  <c r="N77" i="11"/>
  <c r="O60" i="11"/>
  <c r="N59" i="11"/>
  <c r="N65" i="11"/>
  <c r="O66" i="11"/>
  <c r="L231" i="1"/>
  <c r="L72" i="11" s="1"/>
  <c r="K42" i="12"/>
  <c r="M31" i="12"/>
  <c r="M25" i="12"/>
  <c r="L25" i="12"/>
  <c r="L31" i="12"/>
  <c r="L41" i="12"/>
  <c r="M41" i="12"/>
  <c r="M94" i="11"/>
  <c r="M52" i="11"/>
  <c r="N52" i="11" s="1"/>
  <c r="L94" i="11"/>
  <c r="L95" i="11" s="1"/>
  <c r="L52" i="11"/>
  <c r="L54" i="11"/>
  <c r="M54" i="11"/>
  <c r="M187" i="1"/>
  <c r="M190" i="1" s="1"/>
  <c r="M231" i="1"/>
  <c r="M72" i="11" s="1"/>
  <c r="M232" i="1"/>
  <c r="M73" i="11" s="1"/>
  <c r="L232" i="1"/>
  <c r="L73" i="11" s="1"/>
  <c r="L181" i="1" l="1"/>
  <c r="M228" i="1" s="1"/>
  <c r="M69" i="11" s="1"/>
  <c r="M74" i="11" s="1"/>
  <c r="M75" i="11" s="1"/>
  <c r="N75" i="11" s="1"/>
  <c r="J80" i="11"/>
  <c r="J83" i="11" s="1"/>
  <c r="K56" i="11"/>
  <c r="K80" i="11" s="1"/>
  <c r="K83" i="11" s="1"/>
  <c r="O77" i="11"/>
  <c r="P78" i="11"/>
  <c r="O52" i="11"/>
  <c r="N51" i="11"/>
  <c r="O65" i="11"/>
  <c r="P66" i="11"/>
  <c r="P60" i="11"/>
  <c r="O59" i="11"/>
  <c r="M42" i="12"/>
  <c r="L42" i="12"/>
  <c r="M95" i="11"/>
  <c r="L56" i="11"/>
  <c r="L62" i="11"/>
  <c r="L63" i="11" s="1"/>
  <c r="M56" i="11"/>
  <c r="M62" i="11"/>
  <c r="M63" i="11" s="1"/>
  <c r="N63" i="11" s="1"/>
  <c r="L228" i="1" l="1"/>
  <c r="L69" i="11" s="1"/>
  <c r="L74" i="11" s="1"/>
  <c r="L75" i="11" s="1"/>
  <c r="J81" i="11"/>
  <c r="Q60" i="11"/>
  <c r="P59" i="11"/>
  <c r="P65" i="11"/>
  <c r="Q66" i="11"/>
  <c r="N74" i="11"/>
  <c r="O75" i="11"/>
  <c r="N94" i="11"/>
  <c r="N95" i="11" s="1"/>
  <c r="N54" i="11"/>
  <c r="N56" i="11" s="1"/>
  <c r="P52" i="11"/>
  <c r="O51" i="11"/>
  <c r="O63" i="11"/>
  <c r="P77" i="11"/>
  <c r="Q78" i="11"/>
  <c r="K81" i="11"/>
  <c r="M80" i="11"/>
  <c r="M83" i="11" s="1"/>
  <c r="I28" i="7"/>
  <c r="I20" i="7"/>
  <c r="L80" i="11" l="1"/>
  <c r="L83" i="11" s="1"/>
  <c r="N62" i="11"/>
  <c r="N80" i="11" s="1"/>
  <c r="O54" i="11"/>
  <c r="O56" i="11" s="1"/>
  <c r="O94" i="11"/>
  <c r="O95" i="11" s="1"/>
  <c r="Q52" i="11"/>
  <c r="P51" i="11"/>
  <c r="P75" i="11"/>
  <c r="O74" i="11"/>
  <c r="R60" i="11"/>
  <c r="R59" i="11" s="1"/>
  <c r="Q59" i="11"/>
  <c r="P63" i="11"/>
  <c r="R66" i="11"/>
  <c r="R65" i="11" s="1"/>
  <c r="Q65" i="11"/>
  <c r="Q77" i="11"/>
  <c r="R78" i="11"/>
  <c r="R77" i="11" s="1"/>
  <c r="I10" i="7"/>
  <c r="L81" i="11" l="1"/>
  <c r="M81" i="11"/>
  <c r="O62" i="11"/>
  <c r="O80" i="11" s="1"/>
  <c r="Q63" i="11"/>
  <c r="N81" i="11"/>
  <c r="N83" i="11"/>
  <c r="P74" i="11"/>
  <c r="Q75" i="11"/>
  <c r="P94" i="11"/>
  <c r="P95" i="11" s="1"/>
  <c r="P54" i="11"/>
  <c r="P56" i="11" s="1"/>
  <c r="R52" i="11"/>
  <c r="R51" i="11" s="1"/>
  <c r="Q51" i="11"/>
  <c r="O81" i="11" l="1"/>
  <c r="O83" i="11"/>
  <c r="R94" i="11"/>
  <c r="R54" i="11"/>
  <c r="R56" i="11" s="1"/>
  <c r="Q74" i="11"/>
  <c r="R75" i="11"/>
  <c r="R74" i="11" s="1"/>
  <c r="Q94" i="11"/>
  <c r="Q95" i="11" s="1"/>
  <c r="Q54" i="11"/>
  <c r="Q56" i="11" s="1"/>
  <c r="P62" i="11"/>
  <c r="P80" i="11" s="1"/>
  <c r="R63" i="11"/>
  <c r="P13" i="5"/>
  <c r="O13" i="5"/>
  <c r="N13" i="5"/>
  <c r="I13" i="5"/>
  <c r="H13" i="5"/>
  <c r="B4" i="5"/>
  <c r="B6" i="5"/>
  <c r="R62" i="11" l="1"/>
  <c r="R80" i="11" s="1"/>
  <c r="Q62" i="11"/>
  <c r="Q80" i="11" s="1"/>
  <c r="P83" i="11"/>
  <c r="P81" i="11"/>
  <c r="R95" i="11"/>
  <c r="I17" i="11"/>
  <c r="I21" i="5"/>
  <c r="I17" i="5"/>
  <c r="I18" i="5"/>
  <c r="I19" i="5"/>
  <c r="I20" i="5"/>
  <c r="N21" i="5"/>
  <c r="N17" i="5"/>
  <c r="N19" i="5"/>
  <c r="N20" i="5"/>
  <c r="N18" i="5"/>
  <c r="P18" i="5"/>
  <c r="P17" i="5"/>
  <c r="P20" i="5"/>
  <c r="P19" i="5"/>
  <c r="P21" i="5"/>
  <c r="H17" i="5"/>
  <c r="H21" i="5"/>
  <c r="H18" i="5"/>
  <c r="H19" i="5"/>
  <c r="H20" i="5"/>
  <c r="O19" i="5"/>
  <c r="O21" i="5"/>
  <c r="O18" i="5"/>
  <c r="O20" i="5"/>
  <c r="O17" i="5"/>
  <c r="R81" i="11" l="1"/>
  <c r="R83" i="11"/>
  <c r="Q83" i="11"/>
  <c r="Q81" i="11"/>
  <c r="AA81" i="4" l="1"/>
  <c r="V81" i="4"/>
  <c r="Q81" i="4"/>
  <c r="L81" i="4"/>
  <c r="G81" i="4"/>
  <c r="AA80" i="4"/>
  <c r="V80" i="4"/>
  <c r="Q80" i="4"/>
  <c r="L80" i="4"/>
  <c r="G80" i="4"/>
  <c r="AA79" i="4"/>
  <c r="V79" i="4"/>
  <c r="Q79" i="4"/>
  <c r="L79" i="4"/>
  <c r="G79" i="4"/>
  <c r="AA77" i="4"/>
  <c r="V77" i="4"/>
  <c r="Q77" i="4"/>
  <c r="L77" i="4"/>
  <c r="G77" i="4"/>
  <c r="AA76" i="4"/>
  <c r="V76" i="4"/>
  <c r="Q76" i="4"/>
  <c r="L76" i="4"/>
  <c r="G76" i="4"/>
  <c r="AA75" i="4"/>
  <c r="V75" i="4"/>
  <c r="Q75" i="4"/>
  <c r="L75" i="4"/>
  <c r="G75" i="4"/>
  <c r="AA73" i="4"/>
  <c r="V73" i="4"/>
  <c r="Q73" i="4"/>
  <c r="L73" i="4"/>
  <c r="G73" i="4"/>
  <c r="AA72" i="4"/>
  <c r="V72" i="4"/>
  <c r="Q72" i="4"/>
  <c r="L72" i="4"/>
  <c r="G72" i="4"/>
  <c r="AA71" i="4"/>
  <c r="V71" i="4"/>
  <c r="Q71" i="4"/>
  <c r="L71" i="4"/>
  <c r="G71" i="4"/>
  <c r="AF53" i="4"/>
  <c r="AA53" i="4"/>
  <c r="V53" i="4"/>
  <c r="Q53" i="4"/>
  <c r="L53" i="4"/>
  <c r="G53" i="4"/>
  <c r="AA50" i="4"/>
  <c r="V50" i="4"/>
  <c r="Q50" i="4"/>
  <c r="L50" i="4"/>
  <c r="G50" i="4"/>
  <c r="AA49" i="4"/>
  <c r="V49" i="4"/>
  <c r="Q49" i="4"/>
  <c r="L49" i="4"/>
  <c r="G49" i="4"/>
  <c r="AA46" i="4"/>
  <c r="V46" i="4"/>
  <c r="Q46" i="4"/>
  <c r="L46" i="4"/>
  <c r="G46" i="4"/>
  <c r="AA45" i="4"/>
  <c r="V45" i="4"/>
  <c r="Q45" i="4"/>
  <c r="L45" i="4"/>
  <c r="G45" i="4"/>
  <c r="AA44" i="4"/>
  <c r="V44" i="4"/>
  <c r="Q44" i="4"/>
  <c r="L44" i="4"/>
  <c r="G44" i="4"/>
  <c r="AA43" i="4"/>
  <c r="V43" i="4"/>
  <c r="Q43" i="4"/>
  <c r="L43" i="4"/>
  <c r="G43" i="4"/>
  <c r="AA42" i="4"/>
  <c r="V42" i="4"/>
  <c r="Q42" i="4"/>
  <c r="L42" i="4"/>
  <c r="G42" i="4"/>
  <c r="AA41" i="4"/>
  <c r="V41" i="4"/>
  <c r="Q41" i="4"/>
  <c r="L41" i="4"/>
  <c r="G41" i="4"/>
  <c r="AA40" i="4"/>
  <c r="V40" i="4"/>
  <c r="Q40" i="4"/>
  <c r="L40" i="4"/>
  <c r="G40" i="4"/>
  <c r="AA39" i="4"/>
  <c r="V39" i="4"/>
  <c r="Q39" i="4"/>
  <c r="L39" i="4"/>
  <c r="G39" i="4"/>
  <c r="AA38" i="4"/>
  <c r="V38" i="4"/>
  <c r="Q38" i="4"/>
  <c r="L38" i="4"/>
  <c r="G38" i="4"/>
  <c r="AF45" i="4"/>
  <c r="AA11" i="4"/>
  <c r="V11" i="4"/>
  <c r="Q11" i="4"/>
  <c r="L11" i="4"/>
  <c r="G11" i="4"/>
  <c r="AF10" i="4"/>
  <c r="V10" i="4"/>
  <c r="Q10" i="4"/>
  <c r="G10" i="4"/>
  <c r="AF9" i="4"/>
  <c r="AA9" i="4"/>
  <c r="V9" i="4"/>
  <c r="Q9" i="4"/>
  <c r="L9" i="4"/>
  <c r="G9" i="4"/>
  <c r="AF7" i="4"/>
  <c r="AA7" i="4"/>
  <c r="V7" i="4"/>
  <c r="Q7" i="4"/>
  <c r="L7" i="4"/>
  <c r="G7" i="4"/>
  <c r="AF6" i="4"/>
  <c r="AA6" i="4"/>
  <c r="V6" i="4"/>
  <c r="Q6" i="4"/>
  <c r="L6" i="4"/>
  <c r="G6" i="4"/>
  <c r="AC64" i="4"/>
  <c r="X64" i="4"/>
  <c r="S64" i="4"/>
  <c r="N64" i="4"/>
  <c r="I64" i="4"/>
  <c r="D64" i="4"/>
  <c r="AF4" i="4"/>
  <c r="AA4" i="4"/>
  <c r="V4" i="4"/>
  <c r="Q4" i="4"/>
  <c r="L4" i="4"/>
  <c r="G4" i="4"/>
  <c r="AF2" i="4"/>
  <c r="AF1" i="4"/>
  <c r="M21" i="3" l="1"/>
  <c r="G21" i="3"/>
  <c r="B21" i="3"/>
  <c r="B39" i="3"/>
  <c r="D21" i="3"/>
  <c r="D39" i="3"/>
  <c r="V84" i="4"/>
  <c r="V87" i="4"/>
  <c r="AA87" i="4"/>
  <c r="Q84" i="4"/>
  <c r="Q12" i="4"/>
  <c r="AA84" i="4"/>
  <c r="AA88" i="4"/>
  <c r="AA83" i="4"/>
  <c r="V83" i="4"/>
  <c r="V88" i="4"/>
  <c r="Q87" i="4"/>
  <c r="Q88" i="4"/>
  <c r="Q83" i="4"/>
  <c r="L84" i="4"/>
  <c r="L88" i="4"/>
  <c r="L87" i="4"/>
  <c r="L83" i="4"/>
  <c r="G84" i="4"/>
  <c r="G88" i="4"/>
  <c r="G87" i="4"/>
  <c r="G83" i="4"/>
  <c r="G12" i="4"/>
  <c r="V12" i="4"/>
  <c r="AA10" i="4"/>
  <c r="AA12" i="4" s="1"/>
  <c r="L55" i="4"/>
  <c r="L59" i="4" s="1"/>
  <c r="Q55" i="4"/>
  <c r="Q59" i="4" s="1"/>
  <c r="V55" i="4"/>
  <c r="V59" i="4" s="1"/>
  <c r="G55" i="4"/>
  <c r="G59" i="4" s="1"/>
  <c r="AF49" i="4"/>
  <c r="AF11" i="4"/>
  <c r="AF12" i="4" s="1"/>
  <c r="AF86" i="4" s="1"/>
  <c r="AA55" i="4"/>
  <c r="AA59" i="4" s="1"/>
  <c r="B91" i="4"/>
  <c r="B92" i="4"/>
  <c r="B90" i="4"/>
  <c r="L10" i="4"/>
  <c r="L12" i="4" s="1"/>
  <c r="AF38" i="4"/>
  <c r="AF40" i="4"/>
  <c r="AF42" i="4"/>
  <c r="AF44" i="4"/>
  <c r="AF46" i="4"/>
  <c r="AF50" i="4"/>
  <c r="AF39" i="4"/>
  <c r="AF41" i="4"/>
  <c r="AF43" i="4"/>
  <c r="J21" i="3" l="1"/>
  <c r="H24" i="8" s="1"/>
  <c r="H23" i="8"/>
  <c r="AA86" i="4"/>
  <c r="V86" i="4"/>
  <c r="Q86" i="4"/>
  <c r="L86" i="4"/>
  <c r="G86" i="4"/>
  <c r="F67" i="4"/>
  <c r="G100" i="4" s="1"/>
  <c r="S67" i="4"/>
  <c r="V92" i="4" s="1"/>
  <c r="Q60" i="4"/>
  <c r="Q66" i="4" s="1"/>
  <c r="K67" i="4"/>
  <c r="L100" i="4" s="1"/>
  <c r="N67" i="4"/>
  <c r="Q92" i="4" s="1"/>
  <c r="L67" i="4"/>
  <c r="T67" i="4"/>
  <c r="V96" i="4" s="1"/>
  <c r="V67" i="4"/>
  <c r="U67" i="4"/>
  <c r="V100" i="4" s="1"/>
  <c r="D67" i="4"/>
  <c r="G92" i="4" s="1"/>
  <c r="E67" i="4"/>
  <c r="G96" i="4" s="1"/>
  <c r="G67" i="4"/>
  <c r="G60" i="4"/>
  <c r="O67" i="4"/>
  <c r="Q96" i="4" s="1"/>
  <c r="L60" i="4"/>
  <c r="J67" i="4"/>
  <c r="L96" i="4" s="1"/>
  <c r="Q67" i="4"/>
  <c r="I67" i="4"/>
  <c r="L92" i="4" s="1"/>
  <c r="V60" i="4"/>
  <c r="P67" i="4"/>
  <c r="Q100" i="4" s="1"/>
  <c r="AA60" i="4"/>
  <c r="Z67" i="4"/>
  <c r="AA100" i="4" s="1"/>
  <c r="AA67" i="4"/>
  <c r="Y67" i="4"/>
  <c r="AA96" i="4" s="1"/>
  <c r="X67" i="4"/>
  <c r="AA92" i="4" s="1"/>
  <c r="AF55" i="4"/>
  <c r="I37" i="11" s="1"/>
  <c r="N37" i="11" l="1"/>
  <c r="D13" i="11"/>
  <c r="D23" i="11" s="1"/>
  <c r="P65" i="4"/>
  <c r="Q98" i="4" s="1"/>
  <c r="P66" i="4"/>
  <c r="Q99" i="4" s="1"/>
  <c r="N65" i="4"/>
  <c r="Q90" i="4" s="1"/>
  <c r="Q65" i="4"/>
  <c r="O66" i="4"/>
  <c r="Q95" i="4" s="1"/>
  <c r="N66" i="4"/>
  <c r="Q91" i="4" s="1"/>
  <c r="V65" i="4"/>
  <c r="K66" i="4"/>
  <c r="L99" i="4" s="1"/>
  <c r="E66" i="4"/>
  <c r="G95" i="4" s="1"/>
  <c r="O65" i="4"/>
  <c r="Q94" i="4" s="1"/>
  <c r="G66" i="4"/>
  <c r="AF59" i="4"/>
  <c r="E65" i="4"/>
  <c r="G94" i="4" s="1"/>
  <c r="T66" i="4"/>
  <c r="V95" i="4" s="1"/>
  <c r="S66" i="4"/>
  <c r="V91" i="4" s="1"/>
  <c r="I65" i="4"/>
  <c r="L90" i="4" s="1"/>
  <c r="J65" i="4"/>
  <c r="L94" i="4" s="1"/>
  <c r="F65" i="4"/>
  <c r="G98" i="4" s="1"/>
  <c r="G65" i="4"/>
  <c r="D65" i="4"/>
  <c r="G90" i="4" s="1"/>
  <c r="L66" i="4"/>
  <c r="K65" i="4"/>
  <c r="L98" i="4" s="1"/>
  <c r="I66" i="4"/>
  <c r="L91" i="4" s="1"/>
  <c r="L65" i="4"/>
  <c r="J66" i="4"/>
  <c r="L95" i="4" s="1"/>
  <c r="D66" i="4"/>
  <c r="G91" i="4" s="1"/>
  <c r="F66" i="4"/>
  <c r="G99" i="4" s="1"/>
  <c r="U66" i="4"/>
  <c r="V99" i="4" s="1"/>
  <c r="T65" i="4"/>
  <c r="V94" i="4" s="1"/>
  <c r="S65" i="4"/>
  <c r="V90" i="4" s="1"/>
  <c r="V66" i="4"/>
  <c r="U65" i="4"/>
  <c r="V98" i="4" s="1"/>
  <c r="Y65" i="4"/>
  <c r="AA94" i="4" s="1"/>
  <c r="AA66" i="4"/>
  <c r="X65" i="4"/>
  <c r="AA90" i="4" s="1"/>
  <c r="Z66" i="4"/>
  <c r="AA99" i="4" s="1"/>
  <c r="Y66" i="4"/>
  <c r="AA95" i="4" s="1"/>
  <c r="X66" i="4"/>
  <c r="AA91" i="4" s="1"/>
  <c r="AA65" i="4"/>
  <c r="Z65" i="4"/>
  <c r="AA98" i="4" s="1"/>
  <c r="AC67" i="4" l="1"/>
  <c r="AF92" i="4" s="1"/>
  <c r="E39" i="3"/>
  <c r="E21" i="3"/>
  <c r="AF60" i="4"/>
  <c r="AC65" i="4" l="1"/>
  <c r="AF90" i="4" s="1"/>
  <c r="F21" i="3"/>
  <c r="F39" i="3"/>
  <c r="AC66" i="4"/>
  <c r="AF91" i="4" s="1"/>
  <c r="B2" i="8"/>
  <c r="B13" i="8" l="1"/>
  <c r="B16" i="8"/>
  <c r="B19" i="8"/>
  <c r="B94" i="4"/>
  <c r="H23" i="3" s="1"/>
  <c r="AC28" i="4"/>
  <c r="AD64" i="4" s="1"/>
  <c r="N28" i="4"/>
  <c r="O64" i="4" s="1"/>
  <c r="B73" i="4"/>
  <c r="N5" i="3" s="1"/>
  <c r="X28" i="4"/>
  <c r="Y64" i="4" s="1"/>
  <c r="I28" i="4"/>
  <c r="J64" i="4" s="1"/>
  <c r="B72" i="4"/>
  <c r="K5" i="3" s="1"/>
  <c r="S28" i="4"/>
  <c r="T64" i="4" s="1"/>
  <c r="B96" i="4"/>
  <c r="N23" i="3" s="1"/>
  <c r="D28" i="4"/>
  <c r="E64" i="4" s="1"/>
  <c r="B95" i="4"/>
  <c r="K23" i="3" s="1"/>
  <c r="B71" i="4"/>
  <c r="N9" i="3" l="1"/>
  <c r="N11" i="3"/>
  <c r="N12" i="3"/>
  <c r="N10" i="3"/>
  <c r="N13" i="3"/>
  <c r="H5" i="3"/>
  <c r="K10" i="3"/>
  <c r="K11" i="3"/>
  <c r="K12" i="3"/>
  <c r="K13" i="3"/>
  <c r="K9" i="3"/>
  <c r="B20" i="8"/>
  <c r="B17" i="8"/>
  <c r="B14" i="8"/>
  <c r="B76" i="4"/>
  <c r="L5" i="3" s="1"/>
  <c r="J28" i="4"/>
  <c r="K64" i="4" s="1"/>
  <c r="B100" i="4"/>
  <c r="O23" i="3" s="1"/>
  <c r="E28" i="4"/>
  <c r="F64" i="4" s="1"/>
  <c r="B99" i="4"/>
  <c r="L23" i="3" s="1"/>
  <c r="T28" i="4"/>
  <c r="U64" i="4" s="1"/>
  <c r="B98" i="4"/>
  <c r="I23" i="3" s="1"/>
  <c r="B75" i="4"/>
  <c r="I5" i="3" s="1"/>
  <c r="B77" i="4"/>
  <c r="O5" i="3" s="1"/>
  <c r="AD28" i="4"/>
  <c r="AE64" i="4" s="1"/>
  <c r="O28" i="4"/>
  <c r="P64" i="4" s="1"/>
  <c r="Y28" i="4"/>
  <c r="Z64" i="4" s="1"/>
  <c r="K19" i="3" l="1"/>
  <c r="K17" i="3"/>
  <c r="K18" i="3"/>
  <c r="K16" i="3"/>
  <c r="H9" i="3"/>
  <c r="H10" i="3"/>
  <c r="H11" i="3"/>
  <c r="H12" i="3"/>
  <c r="H13" i="3"/>
  <c r="O11" i="3"/>
  <c r="O12" i="3"/>
  <c r="O13" i="3"/>
  <c r="O9" i="3"/>
  <c r="O10" i="3"/>
  <c r="N15" i="3"/>
  <c r="L10" i="3"/>
  <c r="L13" i="3"/>
  <c r="L11" i="3"/>
  <c r="L12" i="3"/>
  <c r="L9" i="3"/>
  <c r="K15" i="3"/>
  <c r="I10" i="3"/>
  <c r="I11" i="3"/>
  <c r="I12" i="3"/>
  <c r="I13" i="3"/>
  <c r="I9" i="3"/>
  <c r="N19" i="3"/>
  <c r="N17" i="3"/>
  <c r="N16" i="3"/>
  <c r="N18" i="3"/>
  <c r="Z28" i="4"/>
  <c r="AA64" i="4" s="1"/>
  <c r="B79" i="4"/>
  <c r="B81" i="4"/>
  <c r="U28" i="4"/>
  <c r="V64" i="4" s="1"/>
  <c r="F28" i="4"/>
  <c r="G64" i="4" s="1"/>
  <c r="AE28" i="4"/>
  <c r="AF64" i="4" s="1"/>
  <c r="P28" i="4"/>
  <c r="Q64" i="4" s="1"/>
  <c r="K28" i="4"/>
  <c r="L64" i="4" s="1"/>
  <c r="B80" i="4"/>
  <c r="B36" i="9"/>
  <c r="B37" i="9"/>
  <c r="B38" i="9"/>
  <c r="M30" i="3" l="1"/>
  <c r="L30" i="3"/>
  <c r="L28" i="3"/>
  <c r="G31" i="3"/>
  <c r="L27" i="3"/>
  <c r="R11" i="3"/>
  <c r="R9" i="3"/>
  <c r="M31" i="3"/>
  <c r="Q10" i="3"/>
  <c r="J27" i="3"/>
  <c r="M28" i="3"/>
  <c r="P10" i="3"/>
  <c r="T13" i="3"/>
  <c r="H30" i="3"/>
  <c r="M29" i="3"/>
  <c r="S11" i="3"/>
  <c r="T11" i="3"/>
  <c r="M27" i="3"/>
  <c r="N27" i="3"/>
  <c r="N31" i="3"/>
  <c r="K28" i="3"/>
  <c r="J30" i="3"/>
  <c r="J39" i="3"/>
  <c r="R10" i="3"/>
  <c r="O27" i="3"/>
  <c r="N28" i="3"/>
  <c r="L31" i="3"/>
  <c r="R12" i="3"/>
  <c r="O30" i="3"/>
  <c r="L29" i="3"/>
  <c r="G29" i="3"/>
  <c r="L15" i="3"/>
  <c r="Q11" i="3"/>
  <c r="I30" i="3"/>
  <c r="L18" i="3"/>
  <c r="L16" i="3"/>
  <c r="L17" i="3"/>
  <c r="H27" i="3"/>
  <c r="I27" i="3"/>
  <c r="H28" i="3"/>
  <c r="P11" i="3"/>
  <c r="M39" i="3"/>
  <c r="H15" i="3"/>
  <c r="G27" i="3"/>
  <c r="S12" i="3"/>
  <c r="R21" i="3"/>
  <c r="H31" i="3"/>
  <c r="T12" i="3"/>
  <c r="O28" i="3"/>
  <c r="S9" i="3"/>
  <c r="Q9" i="3"/>
  <c r="O29" i="3"/>
  <c r="I29" i="3"/>
  <c r="S10" i="3"/>
  <c r="J28" i="3"/>
  <c r="G30" i="3"/>
  <c r="L19" i="3"/>
  <c r="S13" i="3"/>
  <c r="J29" i="3"/>
  <c r="O31" i="3"/>
  <c r="K27" i="3"/>
  <c r="H29" i="3"/>
  <c r="Q13" i="3"/>
  <c r="O19" i="3"/>
  <c r="I16" i="3"/>
  <c r="I19" i="3"/>
  <c r="I18" i="3"/>
  <c r="I17" i="3"/>
  <c r="P9" i="3"/>
  <c r="O16" i="3"/>
  <c r="K31" i="3"/>
  <c r="O17" i="3"/>
  <c r="O18" i="3"/>
  <c r="O15" i="3"/>
  <c r="I31" i="3"/>
  <c r="T9" i="3"/>
  <c r="Q12" i="3"/>
  <c r="P12" i="3"/>
  <c r="N30" i="3"/>
  <c r="J31" i="3"/>
  <c r="G39" i="3"/>
  <c r="P13" i="3"/>
  <c r="H18" i="3"/>
  <c r="H19" i="3"/>
  <c r="H16" i="3"/>
  <c r="H17" i="3"/>
  <c r="T10" i="3"/>
  <c r="I28" i="3"/>
  <c r="R13" i="3"/>
  <c r="I15" i="3"/>
  <c r="N29" i="3"/>
  <c r="K29" i="3"/>
  <c r="G28" i="3"/>
  <c r="K30" i="3"/>
  <c r="O36" i="3" l="1"/>
  <c r="L36" i="3"/>
  <c r="M34" i="3"/>
  <c r="M37" i="3"/>
  <c r="K37" i="3"/>
  <c r="M36" i="3"/>
  <c r="J33" i="3"/>
  <c r="T19" i="3"/>
  <c r="M35" i="3"/>
  <c r="M33" i="3"/>
  <c r="N34" i="3"/>
  <c r="S19" i="3"/>
  <c r="J34" i="3"/>
  <c r="Q17" i="3"/>
  <c r="J35" i="3"/>
  <c r="J36" i="3"/>
  <c r="R18" i="3"/>
  <c r="L35" i="3"/>
  <c r="P19" i="3"/>
  <c r="T17" i="3"/>
  <c r="T15" i="3"/>
  <c r="G35" i="3"/>
  <c r="G37" i="3"/>
  <c r="G34" i="3"/>
  <c r="G36" i="3"/>
  <c r="L37" i="3"/>
  <c r="R15" i="3"/>
  <c r="L33" i="3"/>
  <c r="O35" i="3"/>
  <c r="O33" i="3"/>
  <c r="O34" i="3"/>
  <c r="L34" i="3"/>
  <c r="R16" i="3"/>
  <c r="J37" i="3"/>
  <c r="H33" i="3"/>
  <c r="H36" i="3"/>
  <c r="H34" i="3"/>
  <c r="H35" i="3"/>
  <c r="P15" i="3"/>
  <c r="P17" i="3"/>
  <c r="P16" i="3"/>
  <c r="P18" i="3"/>
  <c r="N37" i="3"/>
  <c r="Q18" i="3"/>
  <c r="Q19" i="3"/>
  <c r="Q15" i="3"/>
  <c r="R17" i="3"/>
  <c r="S15" i="3"/>
  <c r="G33" i="3"/>
  <c r="I33" i="3"/>
  <c r="N36" i="3"/>
  <c r="H37" i="3"/>
  <c r="S18" i="3"/>
  <c r="S17" i="3"/>
  <c r="S16" i="3"/>
  <c r="T18" i="3"/>
  <c r="T16" i="3"/>
  <c r="K34" i="3"/>
  <c r="K36" i="3"/>
  <c r="K33" i="3"/>
  <c r="K35" i="3"/>
  <c r="N33" i="3"/>
  <c r="N35" i="3"/>
  <c r="I36" i="3"/>
  <c r="I35" i="3"/>
  <c r="I34" i="3"/>
  <c r="I37" i="3"/>
  <c r="O37" i="3"/>
  <c r="Q16" i="3"/>
  <c r="R19" i="3"/>
  <c r="I12" i="7"/>
  <c r="I14" i="7" s="1"/>
  <c r="I32" i="7" s="1"/>
  <c r="I83" i="11" s="1"/>
  <c r="C12" i="8" l="1" a="1"/>
  <c r="C12" i="8" s="1"/>
  <c r="B25" i="6" l="1"/>
  <c r="B3" i="8" l="1"/>
  <c r="AF71" i="4" l="1"/>
  <c r="H21" i="3" s="1"/>
  <c r="AD65" i="4"/>
  <c r="AF94" i="4" s="1"/>
  <c r="H39" i="3" s="1"/>
  <c r="B44" i="9"/>
  <c r="AF75" i="4" l="1"/>
  <c r="I21" i="3" s="1"/>
  <c r="AE65" i="4"/>
  <c r="AF98" i="4" s="1"/>
  <c r="I39" i="3" s="1"/>
  <c r="B39" i="9"/>
  <c r="B40" i="9"/>
  <c r="B47" i="9"/>
  <c r="B50" i="9"/>
  <c r="B5" i="8"/>
  <c r="AF83" i="4" l="1"/>
  <c r="P21" i="3" s="1"/>
  <c r="AF65" i="4"/>
  <c r="B34" i="9"/>
  <c r="AF79" i="4" l="1"/>
  <c r="AF72" i="4"/>
  <c r="K21" i="3" s="1"/>
  <c r="AD66" i="4"/>
  <c r="AF95" i="4" s="1"/>
  <c r="K39" i="3" s="1"/>
  <c r="C29" i="6"/>
  <c r="K29" i="6" s="1"/>
  <c r="C28" i="6"/>
  <c r="K28" i="6" l="1"/>
  <c r="I28" i="6"/>
  <c r="G28" i="6"/>
  <c r="E28" i="6"/>
  <c r="AF87" i="4"/>
  <c r="S21" i="3" s="1"/>
  <c r="AF76" i="4"/>
  <c r="L21" i="3" s="1"/>
  <c r="AE66" i="4"/>
  <c r="AF99" i="4" s="1"/>
  <c r="L39" i="3" s="1"/>
  <c r="C23" i="6"/>
  <c r="J28" i="6" l="1"/>
  <c r="H28" i="6"/>
  <c r="B23" i="6"/>
  <c r="D23" i="6"/>
  <c r="L33" i="6" s="1"/>
  <c r="G29" i="6"/>
  <c r="E29" i="6"/>
  <c r="F28" i="6"/>
  <c r="I29" i="6"/>
  <c r="L28" i="6"/>
  <c r="L31" i="6" s="1"/>
  <c r="AF88" i="4"/>
  <c r="T21" i="3" s="1"/>
  <c r="AF84" i="4"/>
  <c r="Q21" i="3" s="1"/>
  <c r="AF80" i="4"/>
  <c r="AF66" i="4"/>
  <c r="B3" i="6"/>
  <c r="B2" i="6"/>
  <c r="L37" i="6" l="1"/>
  <c r="L38" i="6"/>
  <c r="L29" i="6"/>
  <c r="L32" i="6" s="1"/>
  <c r="L39" i="6" s="1"/>
  <c r="B3" i="7"/>
  <c r="L41" i="6" l="1"/>
  <c r="R85" i="11" s="1"/>
  <c r="B3" i="3"/>
  <c r="K85" i="11" l="1"/>
  <c r="M85" i="11"/>
  <c r="N85" i="11"/>
  <c r="O85" i="11"/>
  <c r="I18" i="11"/>
  <c r="N17" i="11"/>
  <c r="N18" i="11" s="1"/>
  <c r="P85" i="11"/>
  <c r="J85" i="11"/>
  <c r="Q85" i="11"/>
  <c r="I85" i="11"/>
  <c r="I86" i="11" s="1"/>
  <c r="L85" i="11"/>
  <c r="I87" i="11" l="1"/>
  <c r="I92" i="11" s="1"/>
  <c r="J86" i="11"/>
  <c r="K86" i="11" s="1"/>
  <c r="L86" i="11" s="1"/>
  <c r="M86" i="11" s="1"/>
  <c r="N86" i="11" s="1"/>
  <c r="O86" i="11" s="1"/>
  <c r="P86" i="11" s="1"/>
  <c r="Q86" i="11" s="1"/>
  <c r="R86" i="11" s="1"/>
  <c r="I20" i="11" s="1"/>
  <c r="J87" i="11" l="1"/>
  <c r="K87" i="11" s="1"/>
  <c r="N20" i="11"/>
  <c r="B49" i="9"/>
  <c r="B46" i="9"/>
  <c r="B43" i="9"/>
  <c r="K26" i="3"/>
  <c r="S8" i="3"/>
  <c r="N8" i="3"/>
  <c r="H26" i="3"/>
  <c r="H8" i="3"/>
  <c r="N26" i="3"/>
  <c r="K8" i="3"/>
  <c r="J92" i="11" l="1"/>
  <c r="L87" i="11"/>
  <c r="K92" i="11"/>
  <c r="B48" i="9"/>
  <c r="B45" i="9"/>
  <c r="B42" i="9"/>
  <c r="I8" i="3"/>
  <c r="I26" i="3"/>
  <c r="O8" i="3"/>
  <c r="T8" i="3"/>
  <c r="O26" i="3"/>
  <c r="L8" i="3"/>
  <c r="L26" i="3"/>
  <c r="M87" i="11" l="1"/>
  <c r="L92" i="11"/>
  <c r="N87" i="11" l="1"/>
  <c r="M92" i="11"/>
  <c r="O87" i="11" l="1"/>
  <c r="N92" i="11"/>
  <c r="P87" i="11" l="1"/>
  <c r="O92" i="11"/>
  <c r="Q87" i="11" l="1"/>
  <c r="P92" i="11"/>
  <c r="R87" i="11" l="1"/>
  <c r="R92" i="11" s="1"/>
  <c r="Q92" i="11"/>
  <c r="I21" i="11" l="1"/>
  <c r="I22" i="11" s="1"/>
  <c r="N21" i="11"/>
  <c r="N22" i="11" s="1"/>
  <c r="N35" i="11" l="1"/>
  <c r="N39" i="11" s="1"/>
  <c r="D102" i="11" s="1"/>
  <c r="N24" i="11"/>
  <c r="I35" i="11"/>
  <c r="I39" i="11" s="1"/>
  <c r="I24" i="11"/>
  <c r="I40" i="11" l="1"/>
  <c r="D116" i="11"/>
  <c r="N40" i="11"/>
  <c r="D130" i="11"/>
  <c r="I162" i="1"/>
  <c r="I164" i="1" s="1"/>
  <c r="I165" i="1" l="1"/>
  <c r="I225" i="1" s="1"/>
  <c r="I203" i="1" s="1"/>
  <c r="I166" i="1" l="1"/>
  <c r="I167" i="1" s="1"/>
  <c r="I168" i="1" s="1"/>
  <c r="I246" i="1" l="1"/>
  <c r="I221" i="1"/>
  <c r="I247" i="1"/>
  <c r="I27" i="12"/>
  <c r="I219" i="1"/>
  <c r="I171" i="1"/>
  <c r="I28" i="12" s="1"/>
  <c r="AC31" i="4"/>
  <c r="AD67" i="4" l="1"/>
  <c r="AF96" i="4" s="1"/>
  <c r="N39" i="3" s="1"/>
  <c r="AF73" i="4"/>
  <c r="N21" i="3" s="1"/>
  <c r="I208" i="1"/>
  <c r="I233" i="1"/>
  <c r="I209" i="1"/>
  <c r="I131" i="1" l="1"/>
  <c r="I132" i="1" s="1"/>
  <c r="I243" i="1" s="1"/>
  <c r="I30" i="12"/>
  <c r="I210" i="1"/>
  <c r="I201" i="1" l="1"/>
  <c r="J157" i="1" s="1"/>
  <c r="I250" i="1"/>
  <c r="I32" i="12" l="1"/>
  <c r="I254" i="1"/>
  <c r="I256" i="1" s="1"/>
  <c r="I38" i="12"/>
  <c r="I204" i="1"/>
  <c r="I206" i="1" s="1"/>
  <c r="I212" i="1" s="1"/>
  <c r="I180" i="1" l="1"/>
  <c r="J159" i="1" s="1"/>
  <c r="J255" i="1"/>
  <c r="I39" i="12" l="1"/>
  <c r="J162" i="1"/>
  <c r="J164" i="1" s="1"/>
  <c r="I184" i="1"/>
  <c r="I192" i="1" s="1"/>
  <c r="I214" i="1" l="1"/>
  <c r="I37" i="12"/>
  <c r="J165" i="1"/>
  <c r="J225" i="1" s="1"/>
  <c r="J203" i="1" s="1"/>
  <c r="J166" i="1" l="1"/>
  <c r="J246" i="1" s="1"/>
  <c r="J167" i="1" l="1"/>
  <c r="J168" i="1" s="1"/>
  <c r="J247" i="1" l="1"/>
  <c r="J221" i="1"/>
  <c r="J219" i="1"/>
  <c r="J27" i="12"/>
  <c r="AD31" i="4"/>
  <c r="AF77" i="4" s="1"/>
  <c r="O21" i="3" s="1"/>
  <c r="H12" i="8" s="1" a="1"/>
  <c r="H12" i="8" s="1"/>
  <c r="J171" i="1"/>
  <c r="J28" i="12" s="1"/>
  <c r="J209" i="1" l="1"/>
  <c r="J233" i="1"/>
  <c r="J30" i="12" s="1"/>
  <c r="J208" i="1"/>
  <c r="AE67" i="4"/>
  <c r="AF100" i="4" s="1"/>
  <c r="O39" i="3" s="1"/>
  <c r="J131" i="1" l="1"/>
  <c r="J132" i="1" s="1"/>
  <c r="J243" i="1" s="1"/>
  <c r="J201" i="1" s="1"/>
  <c r="K157" i="1" s="1"/>
  <c r="J210" i="1"/>
  <c r="J250" i="1" l="1"/>
  <c r="J32" i="12" s="1"/>
  <c r="J38" i="12"/>
  <c r="J204" i="1"/>
  <c r="J206" i="1" s="1"/>
  <c r="J212" i="1" s="1"/>
  <c r="J254" i="1" l="1"/>
  <c r="J256" i="1" s="1"/>
  <c r="K255" i="1" s="1"/>
  <c r="J180" i="1" l="1"/>
  <c r="K159" i="1" s="1"/>
  <c r="K162" i="1" s="1"/>
  <c r="K164" i="1" s="1"/>
  <c r="J39" i="12" l="1"/>
  <c r="J184" i="1"/>
  <c r="J192" i="1" s="1"/>
  <c r="J214" i="1" s="1"/>
  <c r="K165" i="1"/>
  <c r="K225" i="1" s="1"/>
  <c r="K203" i="1" s="1"/>
  <c r="J37" i="12" l="1"/>
  <c r="K166" i="1"/>
  <c r="K246" i="1" s="1"/>
  <c r="K167" i="1" l="1"/>
  <c r="K168" i="1" s="1"/>
  <c r="K171" i="1" s="1"/>
  <c r="K28" i="12" s="1"/>
  <c r="K219" i="1" l="1"/>
  <c r="K208" i="1" s="1"/>
  <c r="AE31" i="4"/>
  <c r="AF81" i="4" s="1"/>
  <c r="K27" i="12"/>
  <c r="K221" i="1"/>
  <c r="K247" i="1"/>
  <c r="K233" i="1" l="1"/>
  <c r="K131" i="1" s="1"/>
  <c r="K132" i="1" s="1"/>
  <c r="K243" i="1" s="1"/>
  <c r="AF67" i="4"/>
  <c r="K209" i="1"/>
  <c r="K210" i="1" s="1"/>
  <c r="K30" i="12" l="1"/>
  <c r="K250" i="1"/>
  <c r="K201" i="1"/>
  <c r="L157" i="1" s="1"/>
  <c r="K38" i="12" l="1"/>
  <c r="K204" i="1"/>
  <c r="K206" i="1" s="1"/>
  <c r="K212" i="1" s="1"/>
  <c r="K32" i="12"/>
  <c r="K254" i="1"/>
  <c r="K256" i="1" s="1"/>
  <c r="L255" i="1" l="1"/>
  <c r="K180" i="1"/>
  <c r="L159" i="1" s="1"/>
  <c r="L162" i="1" l="1"/>
  <c r="L164" i="1" s="1"/>
  <c r="K184" i="1"/>
  <c r="K192" i="1" s="1"/>
  <c r="K39" i="12"/>
  <c r="K214" i="1" l="1"/>
  <c r="K37" i="12"/>
  <c r="L165" i="1"/>
  <c r="L225" i="1" s="1"/>
  <c r="L203" i="1" s="1"/>
  <c r="L166" i="1" l="1"/>
  <c r="L246" i="1" s="1"/>
  <c r="L167" i="1" l="1"/>
  <c r="L168" i="1" s="1"/>
  <c r="L171" i="1" s="1"/>
  <c r="L28" i="12" s="1"/>
  <c r="L27" i="12" l="1"/>
  <c r="L219" i="1"/>
  <c r="L208" i="1" s="1"/>
  <c r="L221" i="1"/>
  <c r="L247" i="1"/>
  <c r="L209" i="1" l="1"/>
  <c r="L210" i="1" s="1"/>
  <c r="L233" i="1"/>
  <c r="L30" i="12" s="1"/>
  <c r="L131" i="1" l="1"/>
  <c r="L132" i="1" s="1"/>
  <c r="L243" i="1" s="1"/>
  <c r="L201" i="1" s="1"/>
  <c r="M157" i="1" s="1"/>
  <c r="L250" i="1" l="1"/>
  <c r="L32" i="12" s="1"/>
  <c r="L38" i="12"/>
  <c r="L204" i="1"/>
  <c r="L206" i="1" s="1"/>
  <c r="L212" i="1" s="1"/>
  <c r="L254" i="1" l="1"/>
  <c r="L256" i="1" s="1"/>
  <c r="L180" i="1" s="1"/>
  <c r="M159" i="1" s="1"/>
  <c r="M255" i="1" l="1"/>
  <c r="M162" i="1"/>
  <c r="M164" i="1" s="1"/>
  <c r="L184" i="1"/>
  <c r="L192" i="1" s="1"/>
  <c r="L39" i="12"/>
  <c r="M165" i="1" l="1"/>
  <c r="M225" i="1" s="1"/>
  <c r="M203" i="1" s="1"/>
  <c r="L37" i="12"/>
  <c r="L214" i="1"/>
  <c r="M166" i="1" l="1"/>
  <c r="M246" i="1" s="1"/>
  <c r="M167" i="1" l="1"/>
  <c r="M168" i="1" s="1"/>
  <c r="M219" i="1" s="1"/>
  <c r="M247" i="1" l="1"/>
  <c r="M221" i="1"/>
  <c r="M233" i="1" s="1"/>
  <c r="M27" i="12"/>
  <c r="M171" i="1"/>
  <c r="M28" i="12" s="1"/>
  <c r="M208" i="1"/>
  <c r="M209" i="1" l="1"/>
  <c r="M210" i="1" s="1"/>
  <c r="M30" i="12"/>
  <c r="M131" i="1"/>
  <c r="M132" i="1" s="1"/>
  <c r="M243" i="1" s="1"/>
  <c r="M250" i="1" l="1"/>
  <c r="M201" i="1"/>
  <c r="M38" i="12" l="1"/>
  <c r="M204" i="1"/>
  <c r="M206" i="1" s="1"/>
  <c r="M212" i="1" s="1"/>
  <c r="M32" i="12"/>
  <c r="M254" i="1"/>
  <c r="M256" i="1" s="1"/>
  <c r="M180" i="1" s="1"/>
  <c r="M184" i="1" l="1"/>
  <c r="M192" i="1" s="1"/>
  <c r="M39" i="12"/>
  <c r="M37" i="12" l="1"/>
  <c r="M2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BIWS</author>
    <author>tc={5ED993EC-952C-4512-8ECA-2F0A4B455D10}</author>
  </authors>
  <commentList>
    <comment ref="D12" authorId="0" shapeId="0" xr:uid="{CC5CF545-0A64-4C44-AA76-F2099D7E66FE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Based on most recent 10-Q as of valuation date.</t>
        </r>
      </text>
    </comment>
    <comment ref="E151" authorId="1" shapeId="0" xr:uid="{5ED993EC-952C-4512-8ECA-2F0A4B455D10}">
      <text>
        <t>[Threaded comment]
Your version of Excel allows you to read this threaded comment; however, any edits to it will get removed if the file is opened in a newer version of Excel. Learn more: https://go.microsoft.com/fwlink/?linkid=870924
Comment:
    Revenue growth is missing since we lack the FY 15 data.</t>
      </text>
    </comment>
    <comment ref="F180" authorId="0" shapeId="0" xr:uid="{7893CF22-8614-4F5A-9EE8-3CF6BEDB1033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Doesn't match BS numbers due to re-classification of Restricted Cash.</t>
        </r>
      </text>
    </comment>
    <comment ref="G180" authorId="0" shapeId="0" xr:uid="{5C88F3FF-9334-48ED-9558-4A228623DE1B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Doesn't match BS numbers due to re-classification of Restricted Cash.</t>
        </r>
      </text>
    </comment>
    <comment ref="H180" authorId="0" shapeId="0" xr:uid="{B620C81C-F4CF-4FAE-A8C2-3D0C15CCAEA8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Doesn't match BS numbers due to re-classification of Restricted Cash.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BIWS</author>
  </authors>
  <commentList>
    <comment ref="D11" authorId="0" shapeId="0" xr:uid="{D32F6B62-DDC6-43B1-94DA-C1F3CCF2732B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If we were starting at the VERY beginning of the year, this would be 1; after Q1, it would be 0.750; after Q2, it would be 0.500; after Q3, it would be 0.250.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BIWS</author>
  </authors>
  <commentList>
    <comment ref="F6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10-Year US Treasury yield as of valuation date.</t>
        </r>
      </text>
    </comment>
    <comment ref="F7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U.S. Equity Risk Premium for 2019 per Damodaran's data.</t>
        </r>
      </text>
    </comment>
    <comment ref="F8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Dividing total Debt + Capital Lease Interest Expense by fair value of Debt + Capital Leases to approximate the YTM.</t>
        </r>
      </text>
    </comment>
    <comment ref="F9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No outstanding Preferred Stock.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BIWS</author>
  </authors>
  <commentList>
    <comment ref="Z10" authorId="0" shapeId="0" xr:uid="{F6AE61B8-DA03-474C-A0B6-75C24061AC8E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"Restructuring" is not a one-time charge here since it recurs each year.</t>
        </r>
      </text>
    </comment>
    <comment ref="G14" authorId="0" shapeId="0" xr:uid="{2091F98C-E6E2-4EFC-8A1D-E51B7ACB20D3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Based on 10-Q to get most recent figures and avoid non-recurring items.</t>
        </r>
      </text>
    </comment>
    <comment ref="L14" authorId="0" shapeId="0" xr:uid="{9F889686-0987-48E2-8CB8-791647F688F8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Based on 10-Q to get most recent figures and avoid non-recurring items.</t>
        </r>
      </text>
    </comment>
    <comment ref="Q14" authorId="0" shapeId="0" xr:uid="{DDEDCD59-2B9C-475F-9B8A-C611C46249C7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Based on 10-Q to get most recent figures and avoid non-recurring items.</t>
        </r>
      </text>
    </comment>
    <comment ref="V14" authorId="0" shapeId="0" xr:uid="{018B5552-36B7-44EC-9804-61455E04B678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Based on 10-Q to get most recent figures and avoid non-recurring items.</t>
        </r>
      </text>
    </comment>
    <comment ref="AA14" authorId="0" shapeId="0" xr:uid="{7EF94C7F-3DC3-4CBC-BC22-2AA266FE3E20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Based on 10-Q to get most recent figures and avoid non-recurring items.</t>
        </r>
      </text>
    </comment>
    <comment ref="Q18" authorId="0" shapeId="0" xr:uid="{A9339B53-E874-4384-916C-836429AFA850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Ocado listed within Other Assets; taking number from 10-K and adjusting for Mark-to-Market Gain listed in 10-Q.</t>
        </r>
      </text>
    </comment>
    <comment ref="AF18" authorId="0" shapeId="0" xr:uid="{95007BDB-68F1-4177-A7F9-3C17B48FAA67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JD Investment.</t>
        </r>
      </text>
    </comment>
    <comment ref="Q20" authorId="0" shapeId="0" xr:uid="{ED1FB08E-3038-48BA-8FAC-0DA098CA596C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Reduced by Valuation Allowance proportion.</t>
        </r>
      </text>
    </comment>
    <comment ref="AA20" authorId="0" shapeId="0" xr:uid="{86C0E5DF-401C-411C-BF40-6AF9A7A1978C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Reducing NOLs proportionally by valuation allowance.</t>
        </r>
      </text>
    </comment>
    <comment ref="AF20" authorId="0" shapeId="0" xr:uid="{1FCA0410-DF0A-464D-B25A-BDCB24F8C54A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Reducing NOLs proportionally by valuation allowance.</t>
        </r>
      </text>
    </comment>
    <comment ref="G21" authorId="0" shapeId="0" xr:uid="{A4040796-C8F5-4E1E-9D13-00777A2338B3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Excluding unamortized discounts and issuance fees.</t>
        </r>
      </text>
    </comment>
    <comment ref="V21" authorId="0" shapeId="0" xr:uid="{FC768CE1-FAF6-4CD4-97BC-15CCB42FD975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Not counting the on-balance sheet operating leases here because EBIT includes the full rental expense.</t>
        </r>
      </text>
    </comment>
    <comment ref="AA21" authorId="0" shapeId="0" xr:uid="{B5B1AAC8-A973-4872-BD07-62ABFD700F6D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Excluding discounts and issuance costs.</t>
        </r>
      </text>
    </comment>
    <comment ref="Q23" authorId="0" shapeId="0" xr:uid="{96691D0E-2BD5-498B-9CFF-40409FB0BD76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From 10-K.</t>
        </r>
      </text>
    </comment>
    <comment ref="L24" authorId="0" shapeId="0" xr:uid="{8439D121-4716-468B-A74F-23B128599710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Pension plan assets exceed liabilities.</t>
        </r>
      </text>
    </comment>
    <comment ref="Q24" authorId="0" shapeId="0" xr:uid="{B901D58E-B00B-4256-B5CE-6B63999F32DB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From 10-K.</t>
        </r>
      </text>
    </comment>
    <comment ref="V24" authorId="0" shapeId="0" xr:uid="{FB47F98C-833F-419F-A731-98179E792D34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From 10-K.</t>
        </r>
      </text>
    </comment>
    <comment ref="AF24" authorId="0" shapeId="0" xr:uid="{20DC029B-3551-4C8D-9BEF-34334DB56CAD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Only the portion for the plan in Japan is underfunded.</t>
        </r>
      </text>
    </comment>
    <comment ref="AA25" authorId="0" shapeId="0" xr:uid="{210539CC-D494-484C-886C-FD4AD7178518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Technically, there's a tiny balance of &lt; $1 million, but it's so small that we're ignoring it.</t>
        </r>
      </text>
    </comment>
    <comment ref="U53" authorId="0" shapeId="0" xr:uid="{7433DCB0-D329-41CE-8C34-53063E1A639E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RSUs + Performance shares.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<sst xmlns="http://schemas.openxmlformats.org/spreadsheetml/2006/main" count="1073" uniqueCount="525">
  <si>
    <t>Company Name:</t>
  </si>
  <si>
    <t>Units (for Conversions):</t>
  </si>
  <si>
    <t>($ in Millions Except Per Share and Per Unit Data)</t>
  </si>
  <si>
    <t>Projected</t>
  </si>
  <si>
    <t>Revenue:</t>
  </si>
  <si>
    <t>%</t>
  </si>
  <si>
    <t>Revenue Growth:</t>
  </si>
  <si>
    <t>Operating Income (EBIT):</t>
  </si>
  <si>
    <t>Effective Tax Rate:</t>
  </si>
  <si>
    <t>Accounts Receivable:</t>
  </si>
  <si>
    <t>Inventories:</t>
  </si>
  <si>
    <t>Accounts Payable:</t>
  </si>
  <si>
    <t>Adjustments for Non-Cash Charges:</t>
  </si>
  <si>
    <t>Ticker:</t>
  </si>
  <si>
    <t>EBITDA:</t>
  </si>
  <si>
    <t>Assumptions:</t>
  </si>
  <si>
    <t>Last Fiscal Year:</t>
  </si>
  <si>
    <t>Most Recent Quarter End Date:</t>
  </si>
  <si>
    <t>Next Fiscal Year:</t>
  </si>
  <si>
    <t>Accrued Liabilities:</t>
  </si>
  <si>
    <t>LTM</t>
  </si>
  <si>
    <t>Company Name</t>
  </si>
  <si>
    <t>Debt</t>
  </si>
  <si>
    <t>Tax Rate</t>
  </si>
  <si>
    <t>Capitalization</t>
  </si>
  <si>
    <t>Share</t>
  </si>
  <si>
    <t>Equity</t>
  </si>
  <si>
    <t>Enterprise</t>
  </si>
  <si>
    <t>Revenue</t>
  </si>
  <si>
    <t>EBITDA</t>
  </si>
  <si>
    <t>Reported Net Income</t>
  </si>
  <si>
    <t>EBITDA Margin</t>
  </si>
  <si>
    <t>Ticker</t>
  </si>
  <si>
    <t>Price</t>
  </si>
  <si>
    <t>Value</t>
  </si>
  <si>
    <t>Growth</t>
  </si>
  <si>
    <t>Maximum</t>
  </si>
  <si>
    <t>75th Percentile</t>
  </si>
  <si>
    <t>Median</t>
  </si>
  <si>
    <t>25th Percentile</t>
  </si>
  <si>
    <t>Minimum</t>
  </si>
  <si>
    <t xml:space="preserve">Enterprise Value / </t>
  </si>
  <si>
    <t>P / E Multiple</t>
  </si>
  <si>
    <t>Old Partial</t>
  </si>
  <si>
    <t>New Partial</t>
  </si>
  <si>
    <t>FY</t>
  </si>
  <si>
    <t>Reported Net Income:</t>
  </si>
  <si>
    <t>Common Shares Outstanding:</t>
  </si>
  <si>
    <t>Options and Warrants:</t>
  </si>
  <si>
    <t>Total</t>
  </si>
  <si>
    <t>Strike</t>
  </si>
  <si>
    <t>Dilution</t>
  </si>
  <si>
    <t>Convertible Bonds:</t>
  </si>
  <si>
    <t>$ Amount</t>
  </si>
  <si>
    <t>Par Value</t>
  </si>
  <si>
    <t>Conv. Price</t>
  </si>
  <si>
    <t># RSUs</t>
  </si>
  <si>
    <t>Restricted Stock Units (RSUs):</t>
  </si>
  <si>
    <t>Total Diluted Shares:</t>
  </si>
  <si>
    <t>Equity Value:</t>
  </si>
  <si>
    <t>Enterprise Value:</t>
  </si>
  <si>
    <t>Valuation Multiples</t>
  </si>
  <si>
    <t>EV / Revenue:</t>
  </si>
  <si>
    <t>EV / EBITDA:</t>
  </si>
  <si>
    <t>P / E:</t>
  </si>
  <si>
    <t>Operating Metrics</t>
  </si>
  <si>
    <t>Transaction</t>
  </si>
  <si>
    <t xml:space="preserve">EV / </t>
  </si>
  <si>
    <t>Acquirer Name</t>
  </si>
  <si>
    <t>Target Name</t>
  </si>
  <si>
    <t>Date</t>
  </si>
  <si>
    <t>Implied Enterprise Value:</t>
  </si>
  <si>
    <t>Implied Equity Value:</t>
  </si>
  <si>
    <t>Diluted Shares Outstanding:</t>
  </si>
  <si>
    <t>Premium / (Discount) to Current:</t>
  </si>
  <si>
    <t>Risk-Free Rate:</t>
  </si>
  <si>
    <t>Equity Risk Premium:</t>
  </si>
  <si>
    <t>Levered</t>
  </si>
  <si>
    <t>Unlevered</t>
  </si>
  <si>
    <t>Name</t>
  </si>
  <si>
    <t>Beta</t>
  </si>
  <si>
    <t>Cost of Equity Based on Historical Beta:</t>
  </si>
  <si>
    <t>WACC = Cost of Equity * % Equity + Cost of Debt * % Debt * (1 - Tax Rate) + Cost of Preferred Stock * % Preferred Stock</t>
  </si>
  <si>
    <t>Annual Revenue Growth Rate:</t>
  </si>
  <si>
    <t>Annual Operating Margin:</t>
  </si>
  <si>
    <t>Net Operating Profit After Tax (NOPAT):</t>
  </si>
  <si>
    <t>Total Adjustments for Non-Cash Charges:</t>
  </si>
  <si>
    <t>Cost of Preferred Stock:</t>
  </si>
  <si>
    <t>Preferred</t>
  </si>
  <si>
    <t>% Debt</t>
  </si>
  <si>
    <t>Stock</t>
  </si>
  <si>
    <t>% Preferred</t>
  </si>
  <si>
    <t>% Equity</t>
  </si>
  <si>
    <t>Median:</t>
  </si>
  <si>
    <t>Current Capital Structure:</t>
  </si>
  <si>
    <t>"Optimal" Capital Structure:</t>
  </si>
  <si>
    <t>Cost of Equity Based on Comparables, Current Capital Structure:</t>
  </si>
  <si>
    <t>Cost of Equity Based on Comparables, "Optimal" Capital Structure:</t>
  </si>
  <si>
    <t>WACC, Current Capital Structure:</t>
  </si>
  <si>
    <t>WACC, Current Capital Structure and Historical Cost of Equity:</t>
  </si>
  <si>
    <t>WACC, "Optimal" Capital Structure:</t>
  </si>
  <si>
    <t>Average WACC Produced by All Methods:</t>
  </si>
  <si>
    <t>Pre-Tax Cost of Debt:</t>
  </si>
  <si>
    <t>25th</t>
  </si>
  <si>
    <t>75th</t>
  </si>
  <si>
    <t>Applicable</t>
  </si>
  <si>
    <t>Company</t>
  </si>
  <si>
    <t>Methodology Name</t>
  </si>
  <si>
    <t>Multiple</t>
  </si>
  <si>
    <t>Figure</t>
  </si>
  <si>
    <t>Public Company Comparables:</t>
  </si>
  <si>
    <t>Precedent Transactions:</t>
  </si>
  <si>
    <t>Discounted Cash Flow Analysis:</t>
  </si>
  <si>
    <t>Implied Equity Value Calculations:</t>
  </si>
  <si>
    <t>Percentile</t>
  </si>
  <si>
    <t>Implied Share Price from Selected Valuation Multiple:</t>
  </si>
  <si>
    <t>Min</t>
  </si>
  <si>
    <t>Max</t>
  </si>
  <si>
    <t>Min Point</t>
  </si>
  <si>
    <t>25th Point</t>
  </si>
  <si>
    <t>Median Point</t>
  </si>
  <si>
    <t>75th Point</t>
  </si>
  <si>
    <t>Implied Enterprise Value or Equity Value at a Range of Multiples:</t>
  </si>
  <si>
    <t>Enterprise Value --&gt;</t>
  </si>
  <si>
    <t>Equity Value --&gt;</t>
  </si>
  <si>
    <t>Max Point</t>
  </si>
  <si>
    <t>$ M</t>
  </si>
  <si>
    <t>Units:</t>
  </si>
  <si>
    <t>Current Share Price:</t>
  </si>
  <si>
    <t>Discount Rate Calculations - Assumptions:</t>
  </si>
  <si>
    <t>Comparable Companies - Unlevered Beta Calculation:</t>
  </si>
  <si>
    <t>(-) Cash &amp; Cash-Equivalents:</t>
  </si>
  <si>
    <t>(-) Equity Investments:</t>
  </si>
  <si>
    <t>(-) Other Non-Core Assets, Net:</t>
  </si>
  <si>
    <t>(-) Net Operating Losses:</t>
  </si>
  <si>
    <t>(+) Preferred Stock:</t>
  </si>
  <si>
    <t>(+) Noncontrolling Interests:</t>
  </si>
  <si>
    <t>(+) Unfunded Pension Obligations:</t>
  </si>
  <si>
    <t>(+) Restructuring &amp; Other Liabilities:</t>
  </si>
  <si>
    <t>(-) Taxes, Excluding Effect of Interest:</t>
  </si>
  <si>
    <t>(+) Cash &amp; Cash-Equivalents:</t>
  </si>
  <si>
    <t>(+) Equity Investments:</t>
  </si>
  <si>
    <t>(+) Other Non-Core Assets, Net:</t>
  </si>
  <si>
    <t>(+) Net Operating Losses:</t>
  </si>
  <si>
    <t>(-) Preferred Stock:</t>
  </si>
  <si>
    <t>(-) Noncontrolling Interests:</t>
  </si>
  <si>
    <t>(-) Unfunded Pension Obligations:</t>
  </si>
  <si>
    <t>(+/-) Deferred Income Taxes:</t>
  </si>
  <si>
    <t>Prepaid Expenses and Other Current Assets:</t>
  </si>
  <si>
    <t>Other Long-Term Assets:</t>
  </si>
  <si>
    <t>(+) Depreciation &amp; Amortization:</t>
  </si>
  <si>
    <t>Projected Financials:</t>
  </si>
  <si>
    <t>Balance Sheet Data:</t>
  </si>
  <si>
    <t>Diluted Shares Calculations:</t>
  </si>
  <si>
    <t>Valuation Metrics:</t>
  </si>
  <si>
    <t>Corporate Website:</t>
  </si>
  <si>
    <t>Calendarization:</t>
  </si>
  <si>
    <t>Lookup Variables:</t>
  </si>
  <si>
    <t>Valuation Multiples:</t>
  </si>
  <si>
    <t>Range of Valuation Multiples / Premiums</t>
  </si>
  <si>
    <t>Implied Per-Share Value Range</t>
  </si>
  <si>
    <t>(-) Debt &amp; Capital Leases</t>
  </si>
  <si>
    <t>(-) Restructuring &amp; Other Liabilities:</t>
  </si>
  <si>
    <t>Premiums Paid</t>
  </si>
  <si>
    <t>1-Day</t>
  </si>
  <si>
    <t>Prior</t>
  </si>
  <si>
    <t>1-Week</t>
  </si>
  <si>
    <t>1-Month</t>
  </si>
  <si>
    <t>1-Day Premiums:</t>
  </si>
  <si>
    <t>1-Week Premiums:</t>
  </si>
  <si>
    <t>1-Month Premiums:</t>
  </si>
  <si>
    <t>Selected Scenario:</t>
  </si>
  <si>
    <t>Base</t>
  </si>
  <si>
    <t>Upside</t>
  </si>
  <si>
    <t>Downside</t>
  </si>
  <si>
    <t>(+) Non-Recurring Items in EBIT:</t>
  </si>
  <si>
    <t>Share Prices</t>
  </si>
  <si>
    <t>Offer</t>
  </si>
  <si>
    <t>Rev. Multiples:</t>
  </si>
  <si>
    <t>EBITDA Multiples:</t>
  </si>
  <si>
    <t>Data for Graphs (Sorted by revenue growth in ascending order):</t>
  </si>
  <si>
    <t>EBITDA Growth:</t>
  </si>
  <si>
    <t>Year 2 Rev. Multiple:</t>
  </si>
  <si>
    <t>Year 2 EBITDA Multiple:</t>
  </si>
  <si>
    <t>Volume</t>
  </si>
  <si>
    <t>Walmart Inc.</t>
  </si>
  <si>
    <t>WMT</t>
  </si>
  <si>
    <t>Historical:</t>
  </si>
  <si>
    <t>Projected:</t>
  </si>
  <si>
    <t>Retail Square Feet at Period End:</t>
  </si>
  <si>
    <t>M Sq. Ft.</t>
  </si>
  <si>
    <t>Sales per Square Foot:</t>
  </si>
  <si>
    <t>$ / Sq. Ft.</t>
  </si>
  <si>
    <t>Growth Rate in Retail Square Feet:</t>
  </si>
  <si>
    <t>Growth Rate in Sales per Square Foot:</t>
  </si>
  <si>
    <t>Net Sales:</t>
  </si>
  <si>
    <t>Net Sales Growth Rate:</t>
  </si>
  <si>
    <t>Segment Operating Income:</t>
  </si>
  <si>
    <t>Segment Operating Margin:</t>
  </si>
  <si>
    <t>Capital Expenditures:</t>
  </si>
  <si>
    <t>CapEx per Square Foot:</t>
  </si>
  <si>
    <t>Income Statement:</t>
  </si>
  <si>
    <t>Total Revenue:</t>
  </si>
  <si>
    <t>Operating Income:</t>
  </si>
  <si>
    <t>Corporate Overhead OpEx:</t>
  </si>
  <si>
    <t>Corporate-Level CapEx:</t>
  </si>
  <si>
    <t>Other Income / (Expense):</t>
  </si>
  <si>
    <t>(+) Gains / (-) Losses:</t>
  </si>
  <si>
    <t>Total Other Income / (Expense):</t>
  </si>
  <si>
    <t>(-) Interest Expense on Debt:</t>
  </si>
  <si>
    <t>Pre-Tax Income:</t>
  </si>
  <si>
    <t>(-) Provision for Income Taxes:</t>
  </si>
  <si>
    <t>Net Income:</t>
  </si>
  <si>
    <t>Net Income to Parent:</t>
  </si>
  <si>
    <t>Basic Shares Outstanding:</t>
  </si>
  <si>
    <t>Basic Earnings per Share (EPS):</t>
  </si>
  <si>
    <t># Millions</t>
  </si>
  <si>
    <t>$ as Stated</t>
  </si>
  <si>
    <t>Balance Sheet:</t>
  </si>
  <si>
    <t>Current Assets:</t>
  </si>
  <si>
    <t>Cash &amp; Cash-Equivalents:</t>
  </si>
  <si>
    <t>Prepaid Expenses &amp; Other Assets:</t>
  </si>
  <si>
    <t>Total Current Assets:</t>
  </si>
  <si>
    <t>Long-Term Assets:</t>
  </si>
  <si>
    <t>Net PP&amp;E:</t>
  </si>
  <si>
    <t>Goodwill:</t>
  </si>
  <si>
    <t>Total Long-Term Assets:</t>
  </si>
  <si>
    <t>Total Assets:</t>
  </si>
  <si>
    <t>Current Liabilities:</t>
  </si>
  <si>
    <t>Total Current Liabilities:</t>
  </si>
  <si>
    <t>Long-Term Liabilities:</t>
  </si>
  <si>
    <t>Total Long-Term Liabilities:</t>
  </si>
  <si>
    <t>Common Shareholders' Equity:</t>
  </si>
  <si>
    <t>Noncontrolling Interest:</t>
  </si>
  <si>
    <t>Total Equity:</t>
  </si>
  <si>
    <t>Debt:</t>
  </si>
  <si>
    <t>Capital Leases:</t>
  </si>
  <si>
    <t>Deferred Tax Liabilities:</t>
  </si>
  <si>
    <t>Total Liabilities &amp; Equity:</t>
  </si>
  <si>
    <t>Balance Check:</t>
  </si>
  <si>
    <t>Consolidated Statement of Cash Flows:</t>
  </si>
  <si>
    <t/>
  </si>
  <si>
    <t>Changes in Operating Assets and Liabilities:</t>
  </si>
  <si>
    <t>(-) Acquisitions, Net of Cash Acquired:</t>
  </si>
  <si>
    <t>(-) CapEx:</t>
  </si>
  <si>
    <t>(+/-) Changes in Investments &amp; Other Items:</t>
  </si>
  <si>
    <t>FX Rate Effects:</t>
  </si>
  <si>
    <t>Net Change in Cash:</t>
  </si>
  <si>
    <t>Beginning Cash:</t>
  </si>
  <si>
    <t>Ending Cash:</t>
  </si>
  <si>
    <t>(+) Loss / (-) Gains:</t>
  </si>
  <si>
    <t>(+/-) Other Operating Activities:</t>
  </si>
  <si>
    <t>(-) Dividends:</t>
  </si>
  <si>
    <t>(-) Dividends to Noncontrolling Interest:</t>
  </si>
  <si>
    <t>(-) Purchase of Noncontrolling Interest:</t>
  </si>
  <si>
    <t>(+/-) Other Activities:</t>
  </si>
  <si>
    <t>(+) Share Issuances / (-) Repurchases:</t>
  </si>
  <si>
    <t>Membership &amp; Other Income Growth Rate:</t>
  </si>
  <si>
    <t>Effective Interest Rate on Debt:</t>
  </si>
  <si>
    <t>Effective Interest Rate on Capital Leases:</t>
  </si>
  <si>
    <t>Effective Interest Rate on Cash:</t>
  </si>
  <si>
    <t>Net Income to NCI % Total Net Income:</t>
  </si>
  <si>
    <t>% Revenue:</t>
  </si>
  <si>
    <t>Accounts Receivables % Revenue:</t>
  </si>
  <si>
    <t>Days Sales Outstanding:</t>
  </si>
  <si>
    <t># Days</t>
  </si>
  <si>
    <t>Deferred Income Taxes % Book Taxes:</t>
  </si>
  <si>
    <t>Other Operating Activities % Revenue:</t>
  </si>
  <si>
    <t>Depreciation &amp; Amortization % Revenue:</t>
  </si>
  <si>
    <t>Acquisitions, Net of Cash Acquired:</t>
  </si>
  <si>
    <t>Changes in Investments &amp; Other Items:</t>
  </si>
  <si>
    <t>Purchase of Noncontrolling Interest:</t>
  </si>
  <si>
    <t>Other Activities:</t>
  </si>
  <si>
    <t>Share Issuances / Repurchases:</t>
  </si>
  <si>
    <t>FX Rate Effects % Revenue:</t>
  </si>
  <si>
    <t>(-) Debt Repayments:</t>
  </si>
  <si>
    <t>(+) Debt Issuances:</t>
  </si>
  <si>
    <t>Debt Repayments:</t>
  </si>
  <si>
    <t>(+) Membership &amp; Other Income:</t>
  </si>
  <si>
    <t>(+/-) Net Change in Capital Leases:</t>
  </si>
  <si>
    <t>Capital Leases per Retail Square Foot:</t>
  </si>
  <si>
    <t>Average Cash and Debt Balances for Interest:</t>
  </si>
  <si>
    <t>Dividends Payout Ratio:</t>
  </si>
  <si>
    <t>(+) Goodwill Impairment:</t>
  </si>
  <si>
    <t>(-) Goodwill Impairment:</t>
  </si>
  <si>
    <t>(+) Net Income Attrib. to NCI:</t>
  </si>
  <si>
    <t>Total Liabilities:</t>
  </si>
  <si>
    <t>NCI Dividend Payout Ratio:</t>
  </si>
  <si>
    <t>Inventories % Segment-Level Expenses:</t>
  </si>
  <si>
    <t>Prepaid Expenses % Total Expenses:</t>
  </si>
  <si>
    <t>Accounts Payable % Total Expenses:</t>
  </si>
  <si>
    <t>Accrued Liabilities % Total Expenses:</t>
  </si>
  <si>
    <t>Cash % Total Expenses:</t>
  </si>
  <si>
    <t>Minimum Cash:</t>
  </si>
  <si>
    <t>Required Debt Issuances:</t>
  </si>
  <si>
    <t>Cash Balance Prior to Debt Issuances:</t>
  </si>
  <si>
    <t>Financial Statement Drivers:</t>
  </si>
  <si>
    <t>Unlevered Free Cash Flow Projections:</t>
  </si>
  <si>
    <t>Growth Rate:</t>
  </si>
  <si>
    <t>Operating (EBIT) Margin:</t>
  </si>
  <si>
    <t>% Change in Revenue:</t>
  </si>
  <si>
    <t>Annual Unlevered Free Cash Flow:</t>
  </si>
  <si>
    <t>(-) Capital Expenditures &amp; Acquisitions:</t>
  </si>
  <si>
    <t>Normal Discount Period:</t>
  </si>
  <si>
    <t>#</t>
  </si>
  <si>
    <t>Mid-Year Discount Period:</t>
  </si>
  <si>
    <t>Net Change in Working Capital:</t>
  </si>
  <si>
    <t>Discount Rate (WACC):</t>
  </si>
  <si>
    <t>PV of Unlevered FCF:</t>
  </si>
  <si>
    <t>DCF Assumptions &amp; Output:</t>
  </si>
  <si>
    <t>Current Equity Value:</t>
  </si>
  <si>
    <t>Current Enterprise Value:</t>
  </si>
  <si>
    <t>Terminal Value - Multiples Method:</t>
  </si>
  <si>
    <t>Terminal Value - Perpetuity Growth Method:</t>
  </si>
  <si>
    <t>Median EV / EBITDA of Comps:</t>
  </si>
  <si>
    <t>Expected Long-Term GDP Growth:</t>
  </si>
  <si>
    <t>Baseline Terminal EBITDA Multiple:</t>
  </si>
  <si>
    <t>Baseline Terminal FCF Growth Rate:</t>
  </si>
  <si>
    <t>Baseline Terminal Value:</t>
  </si>
  <si>
    <t>Implied Terminal FCF Growth Rate:</t>
  </si>
  <si>
    <t>Implied Terminal EBITDA Multiple:</t>
  </si>
  <si>
    <t>(+) PV of Terminal Value:</t>
  </si>
  <si>
    <t>(+) Sum of PV of Free Cash Flows:</t>
  </si>
  <si>
    <t>% of Implied EV from Terminal Value:</t>
  </si>
  <si>
    <t>(-) Total Debt:</t>
  </si>
  <si>
    <t>Implied Share Price from DCF:</t>
  </si>
  <si>
    <t>Cumulative Discount Factor - Mid-Year:</t>
  </si>
  <si>
    <t>(+/-) Net Change in Working Capital:</t>
  </si>
  <si>
    <t>FY20 - Q1</t>
  </si>
  <si>
    <t>% Book Taxes:</t>
  </si>
  <si>
    <t xml:space="preserve">Costco Wholesale Corporation </t>
  </si>
  <si>
    <t>COST</t>
  </si>
  <si>
    <t>The Kroger Co.</t>
  </si>
  <si>
    <t>KR</t>
  </si>
  <si>
    <t xml:space="preserve">Walgreens Boots Alliance, Inc. </t>
  </si>
  <si>
    <t>WBA</t>
  </si>
  <si>
    <t>Target Corporation</t>
  </si>
  <si>
    <t>TGT</t>
  </si>
  <si>
    <t>BBY</t>
  </si>
  <si>
    <t>Best Buy Co., Inc.</t>
  </si>
  <si>
    <t>http://investor.costco.com/investor-overview</t>
  </si>
  <si>
    <t>https://investor.walgreensbootsalliance.com/home/default.aspx</t>
  </si>
  <si>
    <t>http://ir.kroger.com/</t>
  </si>
  <si>
    <t>https://investors.target.com/investors</t>
  </si>
  <si>
    <t>http://investors.bestbuy.com/investor-relations/</t>
  </si>
  <si>
    <t>(+) Total Debt &amp; Capital Leases:</t>
  </si>
  <si>
    <t>(-) Total Debt &amp; Capital Leases:</t>
  </si>
  <si>
    <t>https://stock.walmart.com/investors/default.aspx</t>
  </si>
  <si>
    <t>Sensitivity Tables:</t>
  </si>
  <si>
    <t>Sensitivity - Terminal FCF Growth Rate vs. Discount Rate and Implied Share Price from DCF Analysis:</t>
  </si>
  <si>
    <t>Terminal FCF Growth Rate:</t>
  </si>
  <si>
    <t>Sensitivity - Terminal EBITDA Multiple vs. Discount Rate and Implied Share Price from DCF Analysis:</t>
  </si>
  <si>
    <t>Terminal EBITDA Multiple:</t>
  </si>
  <si>
    <t>Operating Statistics:</t>
  </si>
  <si>
    <t>Valuation Statistics:</t>
  </si>
  <si>
    <t>Comparable Companies - U.S.-Based Diversified Retailers and Grocers with Over $40 Billion in LTM Revenue</t>
  </si>
  <si>
    <t>Whole Foods Market, Inc.</t>
  </si>
  <si>
    <t>Precedent Transactions - U.S.-Based Retail Sellers with Transaction Enterprise Value Above $1 Billion</t>
  </si>
  <si>
    <t>Safeway Inc.</t>
  </si>
  <si>
    <t>Cerberus Capital Management, L.P. / Albertsons Companies, Inc.</t>
  </si>
  <si>
    <t>Family Dollar Stores Inc.</t>
  </si>
  <si>
    <t>Staples, Inc.</t>
  </si>
  <si>
    <t>Dollar Tree, Inc.</t>
  </si>
  <si>
    <t>Amazon.com, Inc.</t>
  </si>
  <si>
    <t>Sycamore Partners</t>
  </si>
  <si>
    <t>SUPERVALU INC.</t>
  </si>
  <si>
    <t>United Natural Foods, Inc.</t>
  </si>
  <si>
    <t xml:space="preserve"> BJ's Wholesale Club Inc.</t>
  </si>
  <si>
    <t>CVC Capital Partners Limited</t>
  </si>
  <si>
    <t>Share Price:</t>
  </si>
  <si>
    <t>LTM Revenue:</t>
  </si>
  <si>
    <t>LTM Reported Net Income:</t>
  </si>
  <si>
    <t>LTM Operating Income (EBIT):</t>
  </si>
  <si>
    <t>LTM EBITDA:</t>
  </si>
  <si>
    <t>Forward Year 1:</t>
  </si>
  <si>
    <t>Forward Year 2:</t>
  </si>
  <si>
    <t>Forward Year 3:</t>
  </si>
  <si>
    <t>Levered Beta:</t>
  </si>
  <si>
    <t>LTM Period:</t>
  </si>
  <si>
    <t>Current Share Price</t>
  </si>
  <si>
    <t>Segment Projections:</t>
  </si>
  <si>
    <t>Operating Margin:</t>
  </si>
  <si>
    <t>EBITDA Margin:</t>
  </si>
  <si>
    <t>Cash Flow from Operations:</t>
  </si>
  <si>
    <t>Cash Flow from Investing:</t>
  </si>
  <si>
    <t>Cash Flow from Financing:</t>
  </si>
  <si>
    <t>Total Debt + Capital Leases:</t>
  </si>
  <si>
    <t>Year</t>
  </si>
  <si>
    <t>Current Region Selected:</t>
  </si>
  <si>
    <t>Status:</t>
  </si>
  <si>
    <t>Supporting Data (Sorted by revenue in ascending order):</t>
  </si>
  <si>
    <t>Share Price</t>
  </si>
  <si>
    <t>Summary of Operational Performance:</t>
  </si>
  <si>
    <t>Company-Wide:</t>
  </si>
  <si>
    <t>Capital Expenditures (CapEx):</t>
  </si>
  <si>
    <t>CAGR:</t>
  </si>
  <si>
    <t>Summary of Valuation Multiples:</t>
  </si>
  <si>
    <t>Projected Revenue Growth - Comparables:</t>
  </si>
  <si>
    <t>Projected EBITDA Growth - Comparables:</t>
  </si>
  <si>
    <t>EV / Revenue - Comparables:</t>
  </si>
  <si>
    <t>EV / EBITDA - Comparables:</t>
  </si>
  <si>
    <t>P / E - Comparables:</t>
  </si>
  <si>
    <t>Segment-Level Net Sales:</t>
  </si>
  <si>
    <t>Total Retail Square Feet at Period End:</t>
  </si>
  <si>
    <t>Average Sales per Square Foot:</t>
  </si>
  <si>
    <t>Segment-Level Statistics:</t>
  </si>
  <si>
    <t>Year 1 Projected Revenue Growth:</t>
  </si>
  <si>
    <t>Year 1 Projected EBITDA Growth:</t>
  </si>
  <si>
    <t>LTM EBITDA Margin:</t>
  </si>
  <si>
    <t>Valuation Date:</t>
  </si>
  <si>
    <t>(+) Debt &amp; Capital Leases:</t>
  </si>
  <si>
    <t>&lt;-- Paste in scenario box here if necessary.</t>
  </si>
  <si>
    <t>Total Net Change in Working Capital:</t>
  </si>
  <si>
    <t>Q1 Unlevered Free Cash Flow:</t>
  </si>
  <si>
    <t>(-) Capital Expenditures and Acquisitions:</t>
  </si>
  <si>
    <t>Reported Income Statement and Cash Flow Statement Figures from Q1:</t>
  </si>
  <si>
    <t>Unlevered Free Cash Flow for Remainder:</t>
  </si>
  <si>
    <t>Stub Period Fraction:</t>
  </si>
  <si>
    <t>Sensitivity - Operating Scenario vs. Discount Rate and Implied Share Price from DCF Analysis:</t>
  </si>
  <si>
    <t>Operating Scenario:</t>
  </si>
  <si>
    <t>Announced Between January 1st, 2010 and June 6th, 2019</t>
  </si>
  <si>
    <t>Sheet Name</t>
  </si>
  <si>
    <t>Link to Sheet</t>
  </si>
  <si>
    <t>Model and Valuation Summary</t>
  </si>
  <si>
    <t>Graphs and Dashboard</t>
  </si>
  <si>
    <t>Operating Scenarios and 3-Statement Model</t>
  </si>
  <si>
    <t>Stub Period Results from Q1</t>
  </si>
  <si>
    <t>Discounted Cash Flow Analysis and Sensitivities</t>
  </si>
  <si>
    <t>Weighted Average Cost of Capital (WACC) Calculations</t>
  </si>
  <si>
    <t>Valuation Summary - Back-End Calculations</t>
  </si>
  <si>
    <t>Valuation "Football Field" Chart</t>
  </si>
  <si>
    <t>Comparable Public Companies - Output</t>
  </si>
  <si>
    <t>Comparable Public Companies - Data and Calculations</t>
  </si>
  <si>
    <t>Precedent Transactions</t>
  </si>
  <si>
    <t>File Name:</t>
  </si>
  <si>
    <t>Model Name:</t>
  </si>
  <si>
    <t>Operating Model and Valuation (5-Year Forecast)</t>
  </si>
  <si>
    <t>Author:</t>
  </si>
  <si>
    <t>Breaking Into Wall Street (BIWS)</t>
  </si>
  <si>
    <t>Analysis Date:</t>
  </si>
  <si>
    <t>U.S. Stores</t>
  </si>
  <si>
    <t>International Stores</t>
  </si>
  <si>
    <t>Sam's Club</t>
  </si>
  <si>
    <t>Income Statement Drivers</t>
  </si>
  <si>
    <t>Balance Sheet Drivers</t>
  </si>
  <si>
    <t>Cash Flow Statement Drivers</t>
  </si>
  <si>
    <t>CASH FLOWS FROM OPERATING ACTIVITIES</t>
  </si>
  <si>
    <t>CASH FLOWS FROM INVESTING ACTIVITIES</t>
  </si>
  <si>
    <t>CASH FLOWS FROM FINANCING ACTIVITIES</t>
  </si>
  <si>
    <t>LIABILITIES &amp; EQUITY</t>
  </si>
  <si>
    <t>ASSETS</t>
  </si>
  <si>
    <t>Navigation, Summary, or Graph Worksheet:</t>
  </si>
  <si>
    <t>Financial Model Worksheet:</t>
  </si>
  <si>
    <t>Data and Back-End Calculation Worksheet:</t>
  </si>
  <si>
    <t>(-) Net Income Attrib. to Noncontrolling Interest:</t>
  </si>
  <si>
    <t>(+) Net Sales:</t>
  </si>
  <si>
    <t>(-) Interest Expense on Capital Leases:</t>
  </si>
  <si>
    <t>(+) Interest Income:</t>
  </si>
  <si>
    <t>x</t>
  </si>
  <si>
    <t>Cumulative Discount Factor - Normal:</t>
  </si>
  <si>
    <t>Summary</t>
  </si>
  <si>
    <t>Graphs</t>
  </si>
  <si>
    <t>WMT_Model</t>
  </si>
  <si>
    <t>Q1_Results</t>
  </si>
  <si>
    <t>DCF</t>
  </si>
  <si>
    <t>WACC</t>
  </si>
  <si>
    <t>ValSum</t>
  </si>
  <si>
    <t>ValGraph</t>
  </si>
  <si>
    <t>Public_Comps</t>
  </si>
  <si>
    <t>Public_Comps_Data</t>
  </si>
  <si>
    <t>MA_Comps</t>
  </si>
  <si>
    <t>7th</t>
  </si>
  <si>
    <r>
      <t>Sensitivity tables</t>
    </r>
    <r>
      <rPr>
        <sz val="12"/>
        <color theme="1"/>
        <rFont val="Calibri"/>
        <family val="2"/>
        <scheme val="minor"/>
      </rPr>
      <t xml:space="preserve">, also known as </t>
    </r>
    <r>
      <rPr>
        <b/>
        <sz val="12"/>
        <color theme="1"/>
        <rFont val="Calibri"/>
        <family val="2"/>
        <scheme val="minor"/>
      </rPr>
      <t>data tables</t>
    </r>
    <r>
      <rPr>
        <sz val="12"/>
        <color theme="1"/>
        <rFont val="Calibri"/>
        <family val="2"/>
        <scheme val="minor"/>
      </rPr>
      <t xml:space="preserve">, let you change 1 or 2 assumptions in a financial model and then see how a </t>
    </r>
  </si>
  <si>
    <t>3rd variable or output changes based on those.</t>
  </si>
  <si>
    <r>
      <t>For example:</t>
    </r>
    <r>
      <rPr>
        <sz val="12"/>
        <color theme="1"/>
        <rFont val="Calibri"/>
        <family val="2"/>
        <scheme val="minor"/>
      </rPr>
      <t xml:space="preserve"> "If we vary the revenue growth from 3% to 7% and the margins from 10% to 15%, how does the company's</t>
    </r>
  </si>
  <si>
    <t>implied share price change at each point? What are the minimum and maximum share price under those assumptions?"</t>
  </si>
  <si>
    <r>
      <t xml:space="preserve">This is important/useful because </t>
    </r>
    <r>
      <rPr>
        <b/>
        <sz val="12"/>
        <color theme="1"/>
        <rFont val="Calibri"/>
        <family val="2"/>
        <scheme val="minor"/>
      </rPr>
      <t>all investing is probabilistic</t>
    </r>
    <r>
      <rPr>
        <sz val="12"/>
        <color theme="1"/>
        <rFont val="Calibri"/>
        <family val="2"/>
        <scheme val="minor"/>
      </rPr>
      <t xml:space="preserve"> - there are many potential outcomes, and you always want to</t>
    </r>
  </si>
  <si>
    <t>examine the full range of possibilities.</t>
  </si>
  <si>
    <t>No, you cannot look at multidimensional scenarios with 5-10+ assumptions or multiple output variables - these tables are</t>
  </si>
  <si>
    <r>
      <t xml:space="preserve">limited to </t>
    </r>
    <r>
      <rPr>
        <b/>
        <sz val="12"/>
        <color theme="1"/>
        <rFont val="Calibri"/>
        <family val="2"/>
        <scheme val="minor"/>
      </rPr>
      <t>1 or 2 assumptions that vary</t>
    </r>
    <r>
      <rPr>
        <sz val="12"/>
        <color theme="1"/>
        <rFont val="Calibri"/>
        <family val="2"/>
        <scheme val="minor"/>
      </rPr>
      <t xml:space="preserve"> and a </t>
    </r>
    <r>
      <rPr>
        <b/>
        <sz val="12"/>
        <color theme="1"/>
        <rFont val="Calibri"/>
        <family val="2"/>
        <scheme val="minor"/>
      </rPr>
      <t>single output that varies.</t>
    </r>
  </si>
  <si>
    <r>
      <t xml:space="preserve">There are also some strict requirements for how these tables must be set up, </t>
    </r>
    <r>
      <rPr>
        <b/>
        <sz val="12"/>
        <color theme="1"/>
        <rFont val="Calibri"/>
        <family val="2"/>
        <scheme val="minor"/>
      </rPr>
      <t>and if you do not follow them, the tables</t>
    </r>
  </si>
  <si>
    <t>will not work.</t>
  </si>
  <si>
    <r>
      <t>#1:</t>
    </r>
    <r>
      <rPr>
        <sz val="12"/>
        <color theme="1"/>
        <rFont val="Calibri"/>
        <family val="2"/>
        <scheme val="minor"/>
      </rPr>
      <t xml:space="preserve"> The </t>
    </r>
    <r>
      <rPr>
        <b/>
        <sz val="12"/>
        <color theme="1"/>
        <rFont val="Calibri"/>
        <family val="2"/>
        <scheme val="minor"/>
      </rPr>
      <t>input variables</t>
    </r>
    <r>
      <rPr>
        <sz val="12"/>
        <color theme="1"/>
        <rFont val="Calibri"/>
        <family val="2"/>
        <scheme val="minor"/>
      </rPr>
      <t xml:space="preserve"> and </t>
    </r>
    <r>
      <rPr>
        <b/>
        <sz val="12"/>
        <color theme="1"/>
        <rFont val="Calibri"/>
        <family val="2"/>
        <scheme val="minor"/>
      </rPr>
      <t>output</t>
    </r>
    <r>
      <rPr>
        <sz val="12"/>
        <color theme="1"/>
        <rFont val="Calibri"/>
        <family val="2"/>
        <scheme val="minor"/>
      </rPr>
      <t xml:space="preserve"> </t>
    </r>
    <r>
      <rPr>
        <u/>
        <sz val="12"/>
        <color theme="1"/>
        <rFont val="Calibri"/>
        <family val="2"/>
        <scheme val="minor"/>
      </rPr>
      <t>must be on the same spreadsheet in Excel</t>
    </r>
    <r>
      <rPr>
        <sz val="12"/>
        <color theme="1"/>
        <rFont val="Calibri"/>
        <family val="2"/>
        <scheme val="minor"/>
      </rPr>
      <t xml:space="preserve"> - the sheet on which you are creating the table!</t>
    </r>
  </si>
  <si>
    <t>"Row Input Cell" should be a direct link for the input at the top and "Column Input Cell" should be a direct link for the input</t>
  </si>
  <si>
    <t>in the column on the left.</t>
  </si>
  <si>
    <t>Terminal EBITDA Multiple can go from 6.9x to 10.9x.</t>
  </si>
  <si>
    <t xml:space="preserve">Basic takeaway here is that WMT is "appropriately valued" right now - its current share price is roughly in the middle of </t>
  </si>
  <si>
    <t>each one of these tables.</t>
  </si>
  <si>
    <r>
      <t xml:space="preserve">This means that </t>
    </r>
    <r>
      <rPr>
        <u/>
        <sz val="12"/>
        <color theme="1"/>
        <rFont val="Calibri"/>
        <family val="2"/>
        <scheme val="minor"/>
      </rPr>
      <t>if</t>
    </r>
    <r>
      <rPr>
        <sz val="12"/>
        <color theme="1"/>
        <rFont val="Calibri"/>
        <family val="2"/>
        <scheme val="minor"/>
      </rPr>
      <t xml:space="preserve"> we believe these scenarios, then Walmart is not a great company to bet for or against right now because</t>
    </r>
  </si>
  <si>
    <t>there's little downside and also little upside in its share price.</t>
  </si>
  <si>
    <t>Sensitivity Tables in Financial Models (Combined PC/Mac Lesson):</t>
  </si>
  <si>
    <t>The Step-by-Step Process for Sensitivity Tables:</t>
  </si>
  <si>
    <t>Once you get more practice creating these tables and understand the intuition, you don't need to follow this list. This checklist is</t>
  </si>
  <si>
    <r>
      <t xml:space="preserve">just for </t>
    </r>
    <r>
      <rPr>
        <b/>
        <sz val="12"/>
        <color theme="1"/>
        <rFont val="Calibri"/>
        <family val="2"/>
        <scheme val="minor"/>
      </rPr>
      <t>learning the process</t>
    </r>
    <r>
      <rPr>
        <sz val="12"/>
        <color theme="1"/>
        <rFont val="Calibri"/>
        <family val="2"/>
        <scheme val="minor"/>
      </rPr>
      <t xml:space="preserve"> the first time around and making sure you understand the fundamentals.</t>
    </r>
  </si>
  <si>
    <t>So, the Discount Rate, Terminal Growth Rate, and Terminal Multiple are all fine to use here since they're all on this sheet already.</t>
  </si>
  <si>
    <r>
      <t xml:space="preserve">But the Scenarios are not! You need to </t>
    </r>
    <r>
      <rPr>
        <b/>
        <sz val="12"/>
        <color theme="1"/>
        <rFont val="Calibri"/>
        <family val="2"/>
        <scheme val="minor"/>
      </rPr>
      <t>cut and paste this input box</t>
    </r>
    <r>
      <rPr>
        <sz val="12"/>
        <color theme="1"/>
        <rFont val="Calibri"/>
        <family val="2"/>
        <scheme val="minor"/>
      </rPr>
      <t xml:space="preserve"> to the DCF spreadsheet. It's </t>
    </r>
    <r>
      <rPr>
        <b/>
        <sz val="12"/>
        <color theme="1"/>
        <rFont val="Calibri"/>
        <family val="2"/>
        <scheme val="minor"/>
      </rPr>
      <t>cut and paste</t>
    </r>
    <r>
      <rPr>
        <sz val="12"/>
        <color theme="1"/>
        <rFont val="Calibri"/>
        <family val="2"/>
        <scheme val="minor"/>
      </rPr>
      <t>, not copy and paste,</t>
    </r>
  </si>
  <si>
    <t>because the rest of the model references this named cell!</t>
  </si>
  <si>
    <r>
      <t xml:space="preserve">You must also </t>
    </r>
    <r>
      <rPr>
        <b/>
        <sz val="12"/>
        <color theme="1"/>
        <rFont val="Calibri"/>
        <family val="2"/>
        <scheme val="minor"/>
      </rPr>
      <t>change the Data Validation settings</t>
    </r>
    <r>
      <rPr>
        <sz val="12"/>
        <color theme="1"/>
        <rFont val="Calibri"/>
        <family val="2"/>
        <scheme val="minor"/>
      </rPr>
      <t xml:space="preserve"> to point to a similar Upside/Base/Downside case range of text cells on </t>
    </r>
    <r>
      <rPr>
        <u/>
        <sz val="12"/>
        <color theme="1"/>
        <rFont val="Calibri"/>
        <family val="2"/>
        <scheme val="minor"/>
      </rPr>
      <t>this sheet</t>
    </r>
    <r>
      <rPr>
        <sz val="12"/>
        <color theme="1"/>
        <rFont val="Calibri"/>
        <family val="2"/>
        <scheme val="minor"/>
      </rPr>
      <t>.</t>
    </r>
  </si>
  <si>
    <t>Won't work if it's still pointing to the old range of cells, which is no longer valid here!</t>
  </si>
  <si>
    <r>
      <t>#2:</t>
    </r>
    <r>
      <rPr>
        <sz val="12"/>
        <color theme="1"/>
        <rFont val="Calibri"/>
        <family val="2"/>
        <scheme val="minor"/>
      </rPr>
      <t xml:space="preserve"> Before doing anything else, </t>
    </r>
    <r>
      <rPr>
        <b/>
        <sz val="12"/>
        <color theme="1"/>
        <rFont val="Calibri"/>
        <family val="2"/>
        <scheme val="minor"/>
      </rPr>
      <t>test</t>
    </r>
    <r>
      <rPr>
        <sz val="12"/>
        <color theme="1"/>
        <rFont val="Calibri"/>
        <family val="2"/>
        <scheme val="minor"/>
      </rPr>
      <t xml:space="preserve"> to make sure your model setup works!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So, if we change the Scenario, Discount Rate, and</t>
    </r>
  </si>
  <si>
    <t>Terminal Value assumptions here, does the Implied Share Price change? Does it change correctly? Compare to the versions on-screen.</t>
  </si>
  <si>
    <t>They must also be related to each other in some way. Use the Ctrl + ] and Shift + Ctrl + ] shortcuts to check for this; if the inputs</t>
  </si>
  <si>
    <t>do not affect the output, the table won't work.</t>
  </si>
  <si>
    <r>
      <t>#3:</t>
    </r>
    <r>
      <rPr>
        <sz val="12"/>
        <color theme="1"/>
        <rFont val="Calibri"/>
        <family val="2"/>
        <scheme val="minor"/>
      </rPr>
      <t xml:space="preserve"> Decide on the </t>
    </r>
    <r>
      <rPr>
        <b/>
        <sz val="12"/>
        <color theme="1"/>
        <rFont val="Calibri"/>
        <family val="2"/>
        <scheme val="minor"/>
      </rPr>
      <t>row and column inputs and ranges</t>
    </r>
    <r>
      <rPr>
        <sz val="12"/>
        <color theme="1"/>
        <rFont val="Calibri"/>
        <family val="2"/>
        <scheme val="minor"/>
      </rPr>
      <t xml:space="preserve">. You </t>
    </r>
    <r>
      <rPr>
        <u/>
        <sz val="12"/>
        <color theme="1"/>
        <rFont val="Calibri"/>
        <family val="2"/>
        <scheme val="minor"/>
      </rPr>
      <t>cannot</t>
    </r>
    <r>
      <rPr>
        <sz val="12"/>
        <color theme="1"/>
        <rFont val="Calibri"/>
        <family val="2"/>
        <scheme val="minor"/>
      </rPr>
      <t xml:space="preserve"> link to or from anything in the model - either hard-code</t>
    </r>
  </si>
  <si>
    <t>all the numbers or start with a baseline number and increment or decrement it with simple + or - operators in this section.</t>
  </si>
  <si>
    <t>Alt, E, I, S</t>
  </si>
  <si>
    <t>"Series" Dialog Box (PC Only) - Very useful for entering 2 numbers and then "filling in" the range in between them.</t>
  </si>
  <si>
    <t>Mac: Go to Home and then "Fill" in the "Editing" group under AutoSum and then select "Series" from there.</t>
  </si>
  <si>
    <r>
      <t>#4:</t>
    </r>
    <r>
      <rPr>
        <sz val="12"/>
        <color theme="1"/>
        <rFont val="Calibri"/>
        <family val="2"/>
        <scheme val="minor"/>
      </rPr>
      <t xml:space="preserve"> Enter a </t>
    </r>
    <r>
      <rPr>
        <b/>
        <sz val="12"/>
        <color theme="1"/>
        <rFont val="Calibri"/>
        <family val="2"/>
        <scheme val="minor"/>
      </rPr>
      <t>direct link</t>
    </r>
    <r>
      <rPr>
        <sz val="12"/>
        <color theme="1"/>
        <rFont val="Calibri"/>
        <family val="2"/>
        <scheme val="minor"/>
      </rPr>
      <t xml:space="preserve"> to the output you want to sensitize in the </t>
    </r>
    <r>
      <rPr>
        <u/>
        <sz val="12"/>
        <color theme="1"/>
        <rFont val="Calibri"/>
        <family val="2"/>
        <scheme val="minor"/>
      </rPr>
      <t>top left-hand corner</t>
    </r>
    <r>
      <rPr>
        <sz val="12"/>
        <color theme="1"/>
        <rFont val="Calibri"/>
        <family val="2"/>
        <scheme val="minor"/>
      </rPr>
      <t xml:space="preserve"> of the table. Anchor if you're going to</t>
    </r>
  </si>
  <si>
    <t>re-use in other tables. It's the Implied Share Price cell here (which one to use depends on the table).</t>
  </si>
  <si>
    <r>
      <t>#6:</t>
    </r>
    <r>
      <rPr>
        <sz val="12"/>
        <color theme="1"/>
        <rFont val="Calibri"/>
        <family val="2"/>
        <scheme val="minor"/>
      </rPr>
      <t xml:space="preserve"> Select the whole area, from the input cell in the top-left corner to the bottom-right corner and go to Data --&gt; What If Analysis --&gt;</t>
    </r>
  </si>
  <si>
    <t>Data Table to calculate it.</t>
  </si>
  <si>
    <t>Alt, D, T</t>
  </si>
  <si>
    <t>Data Table (PC Only) - Legacy shortcut, but we find it easier to remember than Alt, A, W, T because "Data Table"</t>
  </si>
  <si>
    <t>corresponds to the initials "D" and "T"</t>
  </si>
  <si>
    <r>
      <t>#7:</t>
    </r>
    <r>
      <rPr>
        <sz val="12"/>
        <color theme="1"/>
        <rFont val="Calibri"/>
        <family val="2"/>
        <scheme val="minor"/>
      </rPr>
      <t xml:space="preserve"> If the table does not update, press Shift + F9 or F9 or save the file to see the results.</t>
    </r>
  </si>
  <si>
    <t>Once you enter the table, you cannot modify individual cells - so if you want to change something or modify the inputs, formulas.</t>
  </si>
  <si>
    <t>ranges, etc., you must delete and re-enter the entire table.</t>
  </si>
  <si>
    <t>Exercise: Create the First Two Sensitivity Tables</t>
  </si>
  <si>
    <t>Discount Rate can use the same range of 4% to 6% in both.</t>
  </si>
  <si>
    <t>Terminal FCF Growth Rate can go from (0.75%) to 0.50%.</t>
  </si>
  <si>
    <r>
      <t xml:space="preserve">Of course, if we had </t>
    </r>
    <r>
      <rPr>
        <i/>
        <sz val="12"/>
        <color theme="1"/>
        <rFont val="Calibri"/>
        <family val="2"/>
        <scheme val="minor"/>
      </rPr>
      <t>different views</t>
    </r>
    <r>
      <rPr>
        <sz val="12"/>
        <color theme="1"/>
        <rFont val="Calibri"/>
        <family val="2"/>
        <scheme val="minor"/>
      </rPr>
      <t xml:space="preserve"> and constructed </t>
    </r>
    <r>
      <rPr>
        <i/>
        <sz val="12"/>
        <color theme="1"/>
        <rFont val="Calibri"/>
        <family val="2"/>
        <scheme val="minor"/>
      </rPr>
      <t>different scenarios</t>
    </r>
    <r>
      <rPr>
        <sz val="12"/>
        <color theme="1"/>
        <rFont val="Calibri"/>
        <family val="2"/>
        <scheme val="minor"/>
      </rPr>
      <t>, that might change - see the modeling courses.</t>
    </r>
  </si>
  <si>
    <t>Interpretation of the Sensitivity Tables:</t>
  </si>
  <si>
    <r>
      <t>#5:</t>
    </r>
    <r>
      <rPr>
        <sz val="12"/>
        <color theme="1"/>
        <rFont val="Calibri"/>
        <family val="2"/>
        <scheme val="minor"/>
      </rPr>
      <t xml:space="preserve"> You </t>
    </r>
    <r>
      <rPr>
        <u/>
        <sz val="12"/>
        <color theme="1"/>
        <rFont val="Calibri"/>
        <family val="2"/>
        <scheme val="minor"/>
      </rPr>
      <t>should</t>
    </r>
    <r>
      <rPr>
        <sz val="12"/>
        <color theme="1"/>
        <rFont val="Calibri"/>
        <family val="2"/>
        <scheme val="minor"/>
      </rPr>
      <t xml:space="preserve"> set "Workbook Calculation"in Options --&gt; Formulas to "Partial" so your spreadsheet doesn't recalculate</t>
    </r>
  </si>
  <si>
    <t>these tables all the time (it's called "Automatic Except for Data Tables" in older versions of Excel).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</si>
</sst>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FY&quot;yy"/>
    <numFmt numFmtId="165" formatCode="#,##0_);\(#,##0\);\-_);@_)"/>
    <numFmt numFmtId="166" formatCode="0.0%"/>
    <numFmt numFmtId="167" formatCode="0.0%;\(0.0%\)"/>
    <numFmt numFmtId="168" formatCode="_(&quot;$&quot;* #,##0.0_);_(&quot;$&quot;* \(#,##0.0\);_(&quot;$&quot;* &quot;-&quot;?_);_(@_)"/>
    <numFmt numFmtId="169" formatCode="_(* #,##0.0_);_(* \(#,##0.0\);_(* &quot;-&quot;?_);_(@_)"/>
    <numFmt numFmtId="170" formatCode="_(* #,##0.000_);_(* \(#,##0.000\);_(* &quot;-&quot;???_);_(@_)"/>
    <numFmt numFmtId="171" formatCode="0.00%;\(0.00%\)"/>
    <numFmt numFmtId="172" formatCode="0.0\ \x"/>
    <numFmt numFmtId="173" formatCode="_(0.0%_);\(0.0%\);_(&quot;–&quot;_)_%;_(@_)_%"/>
    <numFmt numFmtId="174" formatCode="yyyy\-mm\-dd"/>
    <numFmt numFmtId="175" formatCode="_(&quot;$&quot;#,##0.00_)_%;\(&quot;$&quot;#,##0.00\)_%;_(&quot;–&quot;_)_%;_(@_)_%"/>
    <numFmt numFmtId="176" formatCode="#,##0.000"/>
    <numFmt numFmtId="177" formatCode="0.0\ \x;[Red]\ 0.0\ \x"/>
    <numFmt numFmtId="178" formatCode="m/d/yyyy;@"/>
    <numFmt numFmtId="179" formatCode="_(* #,##0_);[Red]_(* \(#,##0\);_(* &quot;-&quot;_);_(@_)"/>
    <numFmt numFmtId="180" formatCode="_(0.00%_);\(0.00%\);_(&quot;–&quot;_)_%;_(@_)_%"/>
    <numFmt numFmtId="181" formatCode="_(#,##0.00_)_%;\(#,##0.00\)_%;_(&quot;–&quot;_)_%;_(@_)_%"/>
    <numFmt numFmtId="182" formatCode="_(#,##0.00_);\(#,##0.00\);_(&quot;–&quot;_);_(@_)"/>
    <numFmt numFmtId="183" formatCode="0.0%;\(0.0%\);\-_)_%;@_)_%"/>
    <numFmt numFmtId="184" formatCode="_(&quot;$&quot;* #,##0.0_);_(&quot;$&quot;* \(#,##0.0\);_(&quot;$&quot;* &quot;-&quot;_);_(@_)"/>
    <numFmt numFmtId="185" formatCode="_(&quot;$&quot;* #,##0_);_(&quot;$&quot;* \(#,##0\);_(&quot;$&quot;* &quot;-&quot;?_);_(@_)"/>
    <numFmt numFmtId="186" formatCode="_(* #,##0_);_(* \(#,##0\);_(* &quot;-&quot;?_);_(@_)"/>
    <numFmt numFmtId="187" formatCode="_(* #,##0_);_(* \(#,##0\);_(* &quot;-&quot;??_);_(@_)"/>
    <numFmt numFmtId="188" formatCode="_(#,##0.0%_);\(#,##0.0%\);_(&quot;–&quot;_)_%;_(@_)_%"/>
    <numFmt numFmtId="189" formatCode="#,##0.0_);\(#,##0.0\)"/>
    <numFmt numFmtId="190" formatCode="&quot;Yes&quot;;&quot;Yes&quot;;&quot;No&quot;"/>
    <numFmt numFmtId="191" formatCode="_(* #,##0.0_);_(* \(#,##0.0\);_(* &quot;-&quot;??_);_(@_)"/>
    <numFmt numFmtId="192" formatCode="#,##0.0"/>
    <numFmt numFmtId="193" formatCode="_(0.0\ \x_);\(0.0\ \x\);_(&quot;–&quot;_);_(@_)"/>
    <numFmt numFmtId="194" formatCode="_(0.0%_);\(0.0%\);_(&quot;–&quot;_);_(@_)"/>
    <numFmt numFmtId="195" formatCode="_(&quot;$&quot;* #,##0_);_(&quot;$&quot;* \(#,##0\);_(&quot;$&quot;* &quot;-&quot;??_);_(@_)"/>
    <numFmt numFmtId="196" formatCode="0.00%;\(0.00%\);\-_)_%;@_)_%"/>
    <numFmt numFmtId="197" formatCode="0.0\ %_);[Red]\(0.0%\)"/>
    <numFmt numFmtId="198" formatCode="0.000"/>
    <numFmt numFmtId="199" formatCode="_(0.00%_);\(0.00%\);_(&quot;–&quot;_);_(@_)"/>
    <numFmt numFmtId="200" formatCode="0.0000%"/>
    <numFmt numFmtId="201" formatCode="0.0"/>
    <numFmt numFmtId="202" formatCode="0.0\ \x;[Red]\ \(0.0\ \x\)"/>
    <numFmt numFmtId="203" formatCode="#,##0.000_);\(#,##0.000\);&quot;OK&quot;;&quot;Error&quot;"/>
    <numFmt numFmtId="204" formatCode="_([$$-409]* #,##0_);_([$$-409]* \(#,##0\);_([$$-409]* &quot;-&quot;??_);_(@_)"/>
  </numFmts>
  <fonts count="86" x14ac:knownFonts="1"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FF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14"/>
      <color theme="1"/>
      <name val="Calibri"/>
      <family val="2"/>
    </font>
    <font>
      <u/>
      <sz val="11"/>
      <color theme="10"/>
      <name val="Calibri"/>
      <family val="2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u/>
      <sz val="12"/>
      <color indexed="9"/>
      <name val="Calibri"/>
      <family val="2"/>
      <scheme val="minor"/>
    </font>
    <font>
      <sz val="12"/>
      <color rgb="FF0000FF"/>
      <name val="Calibri"/>
      <family val="2"/>
      <scheme val="minor"/>
    </font>
    <font>
      <sz val="12"/>
      <color rgb="FF0000FF"/>
      <name val="Calibri"/>
      <family val="2"/>
    </font>
    <font>
      <sz val="12"/>
      <name val="Calibri"/>
      <family val="2"/>
    </font>
    <font>
      <sz val="12"/>
      <name val="Calibri"/>
      <family val="2"/>
      <scheme val="minor"/>
    </font>
    <font>
      <i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2"/>
      <color theme="1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4"/>
      <name val="Calibri"/>
      <family val="2"/>
      <scheme val="minor"/>
    </font>
    <font>
      <b/>
      <sz val="12"/>
      <color rgb="FFFFFFFF"/>
      <name val="Calibri"/>
      <family val="2"/>
    </font>
    <font>
      <sz val="12"/>
      <color rgb="FFFFFFFF"/>
      <name val="Calibri"/>
      <family val="2"/>
    </font>
    <font>
      <sz val="12"/>
      <color rgb="FFFF0000"/>
      <name val="Calibri"/>
      <family val="2"/>
    </font>
    <font>
      <sz val="12"/>
      <color rgb="FF00B050"/>
      <name val="Calibri"/>
      <family val="2"/>
    </font>
    <font>
      <u/>
      <sz val="12"/>
      <color indexed="9"/>
      <name val="Calibri"/>
      <family val="2"/>
      <scheme val="minor"/>
    </font>
    <font>
      <sz val="12"/>
      <color indexed="9"/>
      <name val="Calibri"/>
      <family val="2"/>
      <scheme val="minor"/>
    </font>
    <font>
      <u/>
      <sz val="12"/>
      <color theme="10"/>
      <name val="Calibri"/>
      <family val="2"/>
    </font>
    <font>
      <sz val="11"/>
      <color theme="0"/>
      <name val="Calibri"/>
      <family val="2"/>
      <scheme val="minor"/>
    </font>
    <font>
      <sz val="12"/>
      <name val="Arial"/>
      <family val="2"/>
    </font>
    <font>
      <b/>
      <sz val="12"/>
      <color rgb="FFFFFFFF"/>
      <name val="Calibri"/>
      <family val="2"/>
      <scheme val="minor"/>
    </font>
    <font>
      <b/>
      <sz val="12"/>
      <color rgb="FF00B050"/>
      <name val="Calibri"/>
      <family val="2"/>
      <scheme val="minor"/>
    </font>
    <font>
      <i/>
      <sz val="12"/>
      <color rgb="FF00B05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B2B2B2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Dashed">
        <color rgb="FFFF0000"/>
      </left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auto="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40" fillId="2" borderId="3" applyNumberFormat="0" applyAlignment="0" applyProtection="0"/>
    <xf numFmtId="0" fontId="43" fillId="0" borderId="0"/>
    <xf numFmtId="0" fontId="38" fillId="0" borderId="0"/>
    <xf numFmtId="0" fontId="37" fillId="0" borderId="0"/>
    <xf numFmtId="0" fontId="44" fillId="0" borderId="0" applyAlignment="0"/>
    <xf numFmtId="0" fontId="36" fillId="0" borderId="0"/>
    <xf numFmtId="0" fontId="35" fillId="0" borderId="0"/>
    <xf numFmtId="0" fontId="34" fillId="0" borderId="0"/>
    <xf numFmtId="0" fontId="34" fillId="0" borderId="0"/>
    <xf numFmtId="0" fontId="46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</cellStyleXfs>
  <cellXfs count="667">
    <xf numFmtId="0" fontId="0" fillId="0" borderId="0" xfId="0"/>
    <xf numFmtId="0" fontId="39" fillId="0" borderId="0" xfId="0" applyFont="1"/>
    <xf numFmtId="0" fontId="45" fillId="0" borderId="0" xfId="0" applyFont="1"/>
    <xf numFmtId="0" fontId="45" fillId="0" borderId="0" xfId="12" applyFont="1"/>
    <xf numFmtId="0" fontId="32" fillId="0" borderId="0" xfId="0" applyFont="1"/>
    <xf numFmtId="0" fontId="51" fillId="0" borderId="0" xfId="0" applyFont="1"/>
    <xf numFmtId="0" fontId="49" fillId="0" borderId="0" xfId="0" applyFont="1"/>
    <xf numFmtId="169" fontId="32" fillId="0" borderId="0" xfId="0" applyNumberFormat="1" applyFont="1"/>
    <xf numFmtId="172" fontId="56" fillId="0" borderId="0" xfId="2" applyNumberFormat="1" applyFont="1"/>
    <xf numFmtId="172" fontId="55" fillId="0" borderId="0" xfId="2" applyNumberFormat="1" applyFont="1"/>
    <xf numFmtId="167" fontId="51" fillId="0" borderId="0" xfId="0" applyNumberFormat="1" applyFont="1"/>
    <xf numFmtId="0" fontId="50" fillId="9" borderId="0" xfId="0" applyFont="1" applyFill="1"/>
    <xf numFmtId="0" fontId="58" fillId="9" borderId="0" xfId="0" applyFont="1" applyFill="1"/>
    <xf numFmtId="0" fontId="47" fillId="9" borderId="18" xfId="0" applyFont="1" applyFill="1" applyBorder="1" applyAlignment="1">
      <alignment horizontal="centerContinuous"/>
    </xf>
    <xf numFmtId="0" fontId="47" fillId="9" borderId="20" xfId="0" applyFont="1" applyFill="1" applyBorder="1" applyAlignment="1">
      <alignment horizontal="centerContinuous"/>
    </xf>
    <xf numFmtId="0" fontId="32" fillId="0" borderId="4" xfId="0" applyFont="1" applyBorder="1"/>
    <xf numFmtId="164" fontId="47" fillId="9" borderId="2" xfId="0" applyNumberFormat="1" applyFont="1" applyFill="1" applyBorder="1" applyAlignment="1">
      <alignment horizontal="center"/>
    </xf>
    <xf numFmtId="164" fontId="47" fillId="9" borderId="19" xfId="0" applyNumberFormat="1" applyFont="1" applyFill="1" applyBorder="1" applyAlignment="1">
      <alignment horizontal="center"/>
    </xf>
    <xf numFmtId="165" fontId="32" fillId="0" borderId="0" xfId="0" applyNumberFormat="1" applyFont="1"/>
    <xf numFmtId="173" fontId="55" fillId="2" borderId="3" xfId="1" applyNumberFormat="1" applyFont="1" applyAlignment="1">
      <alignment horizontal="center"/>
    </xf>
    <xf numFmtId="173" fontId="32" fillId="0" borderId="0" xfId="0" applyNumberFormat="1" applyFont="1"/>
    <xf numFmtId="167" fontId="63" fillId="0" borderId="0" xfId="0" applyNumberFormat="1" applyFont="1"/>
    <xf numFmtId="164" fontId="49" fillId="0" borderId="0" xfId="0" applyNumberFormat="1" applyFont="1" applyAlignment="1">
      <alignment horizontal="center"/>
    </xf>
    <xf numFmtId="49" fontId="32" fillId="0" borderId="0" xfId="0" applyNumberFormat="1" applyFont="1" applyAlignment="1">
      <alignment horizontal="left"/>
    </xf>
    <xf numFmtId="169" fontId="54" fillId="0" borderId="0" xfId="0" applyNumberFormat="1" applyFont="1"/>
    <xf numFmtId="0" fontId="57" fillId="0" borderId="0" xfId="2" applyFont="1"/>
    <xf numFmtId="0" fontId="57" fillId="0" borderId="0" xfId="2" applyFont="1" applyAlignment="1">
      <alignment horizontal="left" indent="1"/>
    </xf>
    <xf numFmtId="0" fontId="57" fillId="0" borderId="2" xfId="2" applyFont="1" applyBorder="1"/>
    <xf numFmtId="0" fontId="60" fillId="0" borderId="0" xfId="2" applyFont="1"/>
    <xf numFmtId="0" fontId="60" fillId="0" borderId="1" xfId="2" applyFont="1" applyBorder="1" applyAlignment="1">
      <alignment horizontal="left"/>
    </xf>
    <xf numFmtId="0" fontId="57" fillId="0" borderId="1" xfId="2" applyFont="1" applyBorder="1"/>
    <xf numFmtId="0" fontId="60" fillId="8" borderId="8" xfId="2" applyFont="1" applyFill="1" applyBorder="1"/>
    <xf numFmtId="0" fontId="57" fillId="8" borderId="1" xfId="2" applyFont="1" applyFill="1" applyBorder="1"/>
    <xf numFmtId="44" fontId="60" fillId="8" borderId="9" xfId="2" applyNumberFormat="1" applyFont="1" applyFill="1" applyBorder="1"/>
    <xf numFmtId="0" fontId="60" fillId="8" borderId="6" xfId="2" applyFont="1" applyFill="1" applyBorder="1"/>
    <xf numFmtId="0" fontId="57" fillId="8" borderId="2" xfId="2" applyFont="1" applyFill="1" applyBorder="1"/>
    <xf numFmtId="167" fontId="60" fillId="8" borderId="12" xfId="2" applyNumberFormat="1" applyFont="1" applyFill="1" applyBorder="1"/>
    <xf numFmtId="0" fontId="67" fillId="0" borderId="0" xfId="0" applyFont="1"/>
    <xf numFmtId="0" fontId="69" fillId="0" borderId="0" xfId="0" applyFont="1"/>
    <xf numFmtId="43" fontId="32" fillId="0" borderId="0" xfId="0" applyNumberFormat="1" applyFont="1"/>
    <xf numFmtId="0" fontId="71" fillId="3" borderId="2" xfId="0" applyFont="1" applyFill="1" applyBorder="1"/>
    <xf numFmtId="0" fontId="72" fillId="3" borderId="2" xfId="0" applyFont="1" applyFill="1" applyBorder="1"/>
    <xf numFmtId="0" fontId="72" fillId="0" borderId="0" xfId="0" applyFont="1"/>
    <xf numFmtId="180" fontId="54" fillId="2" borderId="7" xfId="0" applyNumberFormat="1" applyFont="1" applyFill="1" applyBorder="1" applyAlignment="1">
      <alignment horizontal="center"/>
    </xf>
    <xf numFmtId="180" fontId="55" fillId="0" borderId="0" xfId="0" applyNumberFormat="1" applyFont="1"/>
    <xf numFmtId="0" fontId="73" fillId="0" borderId="0" xfId="0" applyFont="1"/>
    <xf numFmtId="1" fontId="74" fillId="0" borderId="0" xfId="0" applyNumberFormat="1" applyFont="1"/>
    <xf numFmtId="0" fontId="74" fillId="0" borderId="0" xfId="0" applyFont="1"/>
    <xf numFmtId="0" fontId="52" fillId="3" borderId="0" xfId="2" applyFont="1" applyFill="1"/>
    <xf numFmtId="0" fontId="52" fillId="3" borderId="0" xfId="2" applyFont="1" applyFill="1" applyAlignment="1">
      <alignment horizontal="center"/>
    </xf>
    <xf numFmtId="0" fontId="52" fillId="3" borderId="2" xfId="2" applyFont="1" applyFill="1" applyBorder="1"/>
    <xf numFmtId="0" fontId="52" fillId="3" borderId="2" xfId="2" applyFont="1" applyFill="1" applyBorder="1" applyAlignment="1">
      <alignment horizontal="center"/>
    </xf>
    <xf numFmtId="181" fontId="56" fillId="0" borderId="0" xfId="0" applyNumberFormat="1" applyFont="1"/>
    <xf numFmtId="173" fontId="56" fillId="0" borderId="0" xfId="0" applyNumberFormat="1" applyFont="1"/>
    <xf numFmtId="182" fontId="69" fillId="0" borderId="0" xfId="0" applyNumberFormat="1" applyFont="1"/>
    <xf numFmtId="0" fontId="60" fillId="4" borderId="13" xfId="2" applyFont="1" applyFill="1" applyBorder="1" applyAlignment="1">
      <alignment horizontal="left"/>
    </xf>
    <xf numFmtId="0" fontId="60" fillId="4" borderId="5" xfId="2" applyFont="1" applyFill="1" applyBorder="1"/>
    <xf numFmtId="181" fontId="60" fillId="4" borderId="5" xfId="2" applyNumberFormat="1" applyFont="1" applyFill="1" applyBorder="1"/>
    <xf numFmtId="173" fontId="60" fillId="4" borderId="5" xfId="2" applyNumberFormat="1" applyFont="1" applyFill="1" applyBorder="1"/>
    <xf numFmtId="43" fontId="60" fillId="4" borderId="14" xfId="2" applyNumberFormat="1" applyFont="1" applyFill="1" applyBorder="1"/>
    <xf numFmtId="0" fontId="47" fillId="5" borderId="13" xfId="2" applyFont="1" applyFill="1" applyBorder="1"/>
    <xf numFmtId="0" fontId="47" fillId="5" borderId="5" xfId="2" applyFont="1" applyFill="1" applyBorder="1"/>
    <xf numFmtId="181" fontId="47" fillId="5" borderId="5" xfId="2" applyNumberFormat="1" applyFont="1" applyFill="1" applyBorder="1"/>
    <xf numFmtId="42" fontId="47" fillId="5" borderId="5" xfId="2" applyNumberFormat="1" applyFont="1" applyFill="1" applyBorder="1"/>
    <xf numFmtId="9" fontId="47" fillId="5" borderId="5" xfId="2" applyNumberFormat="1" applyFont="1" applyFill="1" applyBorder="1"/>
    <xf numFmtId="43" fontId="47" fillId="5" borderId="14" xfId="2" applyNumberFormat="1" applyFont="1" applyFill="1" applyBorder="1"/>
    <xf numFmtId="181" fontId="57" fillId="0" borderId="1" xfId="2" applyNumberFormat="1" applyFont="1" applyBorder="1"/>
    <xf numFmtId="173" fontId="57" fillId="0" borderId="1" xfId="2" applyNumberFormat="1" applyFont="1" applyBorder="1"/>
    <xf numFmtId="166" fontId="57" fillId="0" borderId="1" xfId="2" applyNumberFormat="1" applyFont="1" applyBorder="1"/>
    <xf numFmtId="43" fontId="57" fillId="0" borderId="1" xfId="2" applyNumberFormat="1" applyFont="1" applyBorder="1"/>
    <xf numFmtId="181" fontId="57" fillId="0" borderId="0" xfId="2" applyNumberFormat="1" applyFont="1"/>
    <xf numFmtId="173" fontId="57" fillId="0" borderId="0" xfId="2" applyNumberFormat="1" applyFont="1"/>
    <xf numFmtId="166" fontId="57" fillId="0" borderId="0" xfId="2" applyNumberFormat="1" applyFont="1"/>
    <xf numFmtId="43" fontId="57" fillId="0" borderId="0" xfId="2" applyNumberFormat="1" applyFont="1"/>
    <xf numFmtId="0" fontId="47" fillId="5" borderId="8" xfId="2" applyFont="1" applyFill="1" applyBorder="1"/>
    <xf numFmtId="0" fontId="47" fillId="5" borderId="1" xfId="2" applyFont="1" applyFill="1" applyBorder="1"/>
    <xf numFmtId="171" fontId="47" fillId="5" borderId="1" xfId="2" applyNumberFormat="1" applyFont="1" applyFill="1" applyBorder="1"/>
    <xf numFmtId="0" fontId="47" fillId="5" borderId="10" xfId="2" applyFont="1" applyFill="1" applyBorder="1"/>
    <xf numFmtId="0" fontId="47" fillId="5" borderId="0" xfId="2" applyFont="1" applyFill="1"/>
    <xf numFmtId="171" fontId="47" fillId="5" borderId="0" xfId="2" applyNumberFormat="1" applyFont="1" applyFill="1"/>
    <xf numFmtId="0" fontId="47" fillId="5" borderId="6" xfId="2" applyFont="1" applyFill="1" applyBorder="1"/>
    <xf numFmtId="0" fontId="47" fillId="5" borderId="2" xfId="2" applyFont="1" applyFill="1" applyBorder="1"/>
    <xf numFmtId="171" fontId="47" fillId="5" borderId="2" xfId="2" applyNumberFormat="1" applyFont="1" applyFill="1" applyBorder="1"/>
    <xf numFmtId="180" fontId="47" fillId="5" borderId="9" xfId="2" applyNumberFormat="1" applyFont="1" applyFill="1" applyBorder="1"/>
    <xf numFmtId="180" fontId="47" fillId="5" borderId="11" xfId="2" applyNumberFormat="1" applyFont="1" applyFill="1" applyBorder="1"/>
    <xf numFmtId="180" fontId="47" fillId="5" borderId="12" xfId="2" applyNumberFormat="1" applyFont="1" applyFill="1" applyBorder="1"/>
    <xf numFmtId="180" fontId="47" fillId="5" borderId="14" xfId="2" applyNumberFormat="1" applyFont="1" applyFill="1" applyBorder="1"/>
    <xf numFmtId="0" fontId="53" fillId="3" borderId="0" xfId="2" applyFont="1" applyFill="1" applyAlignment="1">
      <alignment horizontal="centerContinuous"/>
    </xf>
    <xf numFmtId="0" fontId="75" fillId="3" borderId="0" xfId="2" applyFont="1" applyFill="1" applyAlignment="1">
      <alignment horizontal="centerContinuous"/>
    </xf>
    <xf numFmtId="0" fontId="76" fillId="3" borderId="0" xfId="2" applyFont="1" applyFill="1"/>
    <xf numFmtId="0" fontId="76" fillId="3" borderId="0" xfId="2" applyFont="1" applyFill="1" applyAlignment="1">
      <alignment horizontal="centerContinuous"/>
    </xf>
    <xf numFmtId="14" fontId="52" fillId="3" borderId="2" xfId="2" applyNumberFormat="1" applyFont="1" applyFill="1" applyBorder="1" applyAlignment="1">
      <alignment horizontal="center"/>
    </xf>
    <xf numFmtId="44" fontId="57" fillId="0" borderId="0" xfId="2" applyNumberFormat="1" applyFont="1"/>
    <xf numFmtId="167" fontId="57" fillId="0" borderId="0" xfId="2" applyNumberFormat="1" applyFont="1"/>
    <xf numFmtId="0" fontId="57" fillId="0" borderId="8" xfId="2" applyFont="1" applyBorder="1"/>
    <xf numFmtId="44" fontId="57" fillId="0" borderId="1" xfId="2" applyNumberFormat="1" applyFont="1" applyBorder="1"/>
    <xf numFmtId="167" fontId="57" fillId="0" borderId="1" xfId="2" applyNumberFormat="1" applyFont="1" applyBorder="1"/>
    <xf numFmtId="167" fontId="57" fillId="0" borderId="9" xfId="2" applyNumberFormat="1" applyFont="1" applyBorder="1"/>
    <xf numFmtId="0" fontId="57" fillId="0" borderId="10" xfId="2" applyFont="1" applyBorder="1"/>
    <xf numFmtId="167" fontId="57" fillId="0" borderId="11" xfId="2" applyNumberFormat="1" applyFont="1" applyBorder="1"/>
    <xf numFmtId="0" fontId="60" fillId="4" borderId="13" xfId="2" applyFont="1" applyFill="1" applyBorder="1"/>
    <xf numFmtId="167" fontId="60" fillId="4" borderId="5" xfId="2" applyNumberFormat="1" applyFont="1" applyFill="1" applyBorder="1"/>
    <xf numFmtId="167" fontId="60" fillId="4" borderId="14" xfId="2" applyNumberFormat="1" applyFont="1" applyFill="1" applyBorder="1"/>
    <xf numFmtId="0" fontId="57" fillId="0" borderId="6" xfId="2" applyFont="1" applyBorder="1"/>
    <xf numFmtId="0" fontId="60" fillId="0" borderId="2" xfId="2" applyFont="1" applyBorder="1"/>
    <xf numFmtId="43" fontId="57" fillId="0" borderId="2" xfId="2" applyNumberFormat="1" applyFont="1" applyBorder="1"/>
    <xf numFmtId="167" fontId="57" fillId="0" borderId="2" xfId="2" applyNumberFormat="1" applyFont="1" applyBorder="1"/>
    <xf numFmtId="167" fontId="57" fillId="0" borderId="12" xfId="2" applyNumberFormat="1" applyFont="1" applyBorder="1"/>
    <xf numFmtId="44" fontId="47" fillId="5" borderId="5" xfId="2" applyNumberFormat="1" applyFont="1" applyFill="1" applyBorder="1"/>
    <xf numFmtId="167" fontId="47" fillId="5" borderId="5" xfId="2" applyNumberFormat="1" applyFont="1" applyFill="1" applyBorder="1"/>
    <xf numFmtId="167" fontId="47" fillId="5" borderId="14" xfId="2" applyNumberFormat="1" applyFont="1" applyFill="1" applyBorder="1"/>
    <xf numFmtId="0" fontId="57" fillId="0" borderId="0" xfId="2" applyFont="1" applyAlignment="1">
      <alignment horizontal="center"/>
    </xf>
    <xf numFmtId="0" fontId="60" fillId="0" borderId="0" xfId="2" applyFont="1" applyAlignment="1">
      <alignment horizontal="center"/>
    </xf>
    <xf numFmtId="175" fontId="57" fillId="0" borderId="0" xfId="2" applyNumberFormat="1" applyFont="1"/>
    <xf numFmtId="9" fontId="57" fillId="0" borderId="0" xfId="2" applyNumberFormat="1" applyFont="1"/>
    <xf numFmtId="0" fontId="52" fillId="3" borderId="0" xfId="2" applyFont="1" applyFill="1" applyAlignment="1">
      <alignment horizontal="centerContinuous"/>
    </xf>
    <xf numFmtId="0" fontId="62" fillId="0" borderId="0" xfId="5" applyFont="1" applyAlignment="1">
      <alignment horizontal="left" vertical="top" wrapText="1"/>
    </xf>
    <xf numFmtId="174" fontId="61" fillId="0" borderId="0" xfId="5" applyNumberFormat="1" applyFont="1" applyAlignment="1">
      <alignment horizontal="left" vertical="top"/>
    </xf>
    <xf numFmtId="178" fontId="57" fillId="0" borderId="0" xfId="2" applyNumberFormat="1" applyFont="1" applyAlignment="1">
      <alignment horizontal="right"/>
    </xf>
    <xf numFmtId="179" fontId="70" fillId="0" borderId="0" xfId="2" applyNumberFormat="1" applyFont="1"/>
    <xf numFmtId="177" fontId="57" fillId="0" borderId="0" xfId="2" applyNumberFormat="1" applyFont="1" applyAlignment="1">
      <alignment horizontal="right"/>
    </xf>
    <xf numFmtId="0" fontId="77" fillId="0" borderId="0" xfId="10" applyFont="1"/>
    <xf numFmtId="0" fontId="57" fillId="0" borderId="8" xfId="2" applyFont="1" applyBorder="1" applyAlignment="1">
      <alignment horizontal="right"/>
    </xf>
    <xf numFmtId="0" fontId="57" fillId="0" borderId="1" xfId="2" applyFont="1" applyBorder="1" applyAlignment="1">
      <alignment horizontal="right"/>
    </xf>
    <xf numFmtId="177" fontId="57" fillId="0" borderId="1" xfId="2" applyNumberFormat="1" applyFont="1" applyBorder="1"/>
    <xf numFmtId="0" fontId="57" fillId="0" borderId="10" xfId="2" applyFont="1" applyBorder="1" applyAlignment="1">
      <alignment horizontal="right"/>
    </xf>
    <xf numFmtId="0" fontId="57" fillId="0" borderId="0" xfId="2" applyFont="1" applyAlignment="1">
      <alignment horizontal="right"/>
    </xf>
    <xf numFmtId="177" fontId="57" fillId="0" borderId="0" xfId="2" applyNumberFormat="1" applyFont="1"/>
    <xf numFmtId="0" fontId="60" fillId="4" borderId="13" xfId="2" applyFont="1" applyFill="1" applyBorder="1" applyAlignment="1">
      <alignment horizontal="right"/>
    </xf>
    <xf numFmtId="0" fontId="60" fillId="4" borderId="5" xfId="2" applyFont="1" applyFill="1" applyBorder="1" applyAlignment="1">
      <alignment horizontal="right"/>
    </xf>
    <xf numFmtId="177" fontId="60" fillId="4" borderId="5" xfId="2" applyNumberFormat="1" applyFont="1" applyFill="1" applyBorder="1"/>
    <xf numFmtId="0" fontId="57" fillId="0" borderId="6" xfId="2" applyFont="1" applyBorder="1" applyAlignment="1">
      <alignment horizontal="right"/>
    </xf>
    <xf numFmtId="0" fontId="57" fillId="0" borderId="2" xfId="2" applyFont="1" applyBorder="1" applyAlignment="1">
      <alignment horizontal="right"/>
    </xf>
    <xf numFmtId="177" fontId="57" fillId="0" borderId="2" xfId="2" applyNumberFormat="1" applyFont="1" applyBorder="1"/>
    <xf numFmtId="0" fontId="49" fillId="0" borderId="0" xfId="7" applyFont="1"/>
    <xf numFmtId="0" fontId="31" fillId="0" borderId="0" xfId="7" applyFont="1"/>
    <xf numFmtId="0" fontId="52" fillId="3" borderId="8" xfId="7" applyFont="1" applyFill="1" applyBorder="1" applyAlignment="1">
      <alignment horizontal="left"/>
    </xf>
    <xf numFmtId="0" fontId="53" fillId="3" borderId="1" xfId="7" applyFont="1" applyFill="1" applyBorder="1" applyAlignment="1">
      <alignment horizontal="left"/>
    </xf>
    <xf numFmtId="0" fontId="75" fillId="3" borderId="1" xfId="7" applyFont="1" applyFill="1" applyBorder="1" applyAlignment="1">
      <alignment horizontal="left"/>
    </xf>
    <xf numFmtId="0" fontId="52" fillId="3" borderId="9" xfId="7" applyFont="1" applyFill="1" applyBorder="1" applyAlignment="1">
      <alignment horizontal="right"/>
    </xf>
    <xf numFmtId="0" fontId="52" fillId="3" borderId="10" xfId="7" applyFont="1" applyFill="1" applyBorder="1" applyAlignment="1">
      <alignment horizontal="left"/>
    </xf>
    <xf numFmtId="0" fontId="53" fillId="3" borderId="0" xfId="7" applyFont="1" applyFill="1" applyAlignment="1">
      <alignment horizontal="left"/>
    </xf>
    <xf numFmtId="0" fontId="75" fillId="3" borderId="0" xfId="7" applyFont="1" applyFill="1" applyAlignment="1">
      <alignment horizontal="left"/>
    </xf>
    <xf numFmtId="0" fontId="52" fillId="3" borderId="11" xfId="7" applyFont="1" applyFill="1" applyBorder="1" applyAlignment="1">
      <alignment horizontal="right"/>
    </xf>
    <xf numFmtId="169" fontId="54" fillId="0" borderId="10" xfId="7" applyNumberFormat="1" applyFont="1" applyBorder="1"/>
    <xf numFmtId="169" fontId="54" fillId="0" borderId="0" xfId="7" applyNumberFormat="1" applyFont="1"/>
    <xf numFmtId="169" fontId="57" fillId="0" borderId="11" xfId="7" applyNumberFormat="1" applyFont="1" applyBorder="1"/>
    <xf numFmtId="9" fontId="66" fillId="0" borderId="10" xfId="7" applyNumberFormat="1" applyFont="1" applyBorder="1"/>
    <xf numFmtId="9" fontId="66" fillId="0" borderId="0" xfId="7" applyNumberFormat="1" applyFont="1"/>
    <xf numFmtId="0" fontId="49" fillId="6" borderId="10" xfId="7" applyFont="1" applyFill="1" applyBorder="1" applyAlignment="1">
      <alignment horizontal="centerContinuous"/>
    </xf>
    <xf numFmtId="0" fontId="49" fillId="6" borderId="6" xfId="7" applyFont="1" applyFill="1" applyBorder="1" applyAlignment="1">
      <alignment horizontal="centerContinuous"/>
    </xf>
    <xf numFmtId="0" fontId="49" fillId="6" borderId="8" xfId="7" applyFont="1" applyFill="1" applyBorder="1" applyAlignment="1">
      <alignment horizontal="centerContinuous"/>
    </xf>
    <xf numFmtId="0" fontId="51" fillId="0" borderId="0" xfId="7" applyFont="1"/>
    <xf numFmtId="44" fontId="54" fillId="0" borderId="15" xfId="7" applyNumberFormat="1" applyFont="1" applyBorder="1"/>
    <xf numFmtId="4" fontId="54" fillId="0" borderId="15" xfId="7" applyNumberFormat="1" applyFont="1" applyBorder="1" applyAlignment="1">
      <alignment horizontal="right"/>
    </xf>
    <xf numFmtId="176" fontId="54" fillId="0" borderId="15" xfId="7" applyNumberFormat="1" applyFont="1" applyBorder="1"/>
    <xf numFmtId="44" fontId="54" fillId="0" borderId="15" xfId="7" applyNumberFormat="1" applyFont="1" applyBorder="1" applyAlignment="1">
      <alignment horizontal="right"/>
    </xf>
    <xf numFmtId="176" fontId="54" fillId="7" borderId="5" xfId="7" applyNumberFormat="1" applyFont="1" applyFill="1" applyBorder="1"/>
    <xf numFmtId="44" fontId="54" fillId="7" borderId="5" xfId="7" applyNumberFormat="1" applyFont="1" applyFill="1" applyBorder="1" applyAlignment="1">
      <alignment horizontal="right"/>
    </xf>
    <xf numFmtId="168" fontId="54" fillId="0" borderId="15" xfId="7" applyNumberFormat="1" applyFont="1" applyBorder="1"/>
    <xf numFmtId="42" fontId="54" fillId="0" borderId="15" xfId="7" applyNumberFormat="1" applyFont="1" applyBorder="1"/>
    <xf numFmtId="44" fontId="54" fillId="0" borderId="5" xfId="7" applyNumberFormat="1" applyFont="1" applyBorder="1"/>
    <xf numFmtId="176" fontId="54" fillId="7" borderId="1" xfId="7" applyNumberFormat="1" applyFont="1" applyFill="1" applyBorder="1"/>
    <xf numFmtId="44" fontId="54" fillId="7" borderId="1" xfId="7" applyNumberFormat="1" applyFont="1" applyFill="1" applyBorder="1" applyAlignment="1">
      <alignment horizontal="right"/>
    </xf>
    <xf numFmtId="176" fontId="54" fillId="7" borderId="11" xfId="7" applyNumberFormat="1" applyFont="1" applyFill="1" applyBorder="1"/>
    <xf numFmtId="176" fontId="54" fillId="7" borderId="0" xfId="7" applyNumberFormat="1" applyFont="1" applyFill="1"/>
    <xf numFmtId="176" fontId="54" fillId="7" borderId="14" xfId="7" applyNumberFormat="1" applyFont="1" applyFill="1" applyBorder="1"/>
    <xf numFmtId="4" fontId="49" fillId="0" borderId="15" xfId="7" applyNumberFormat="1" applyFont="1" applyBorder="1"/>
    <xf numFmtId="4" fontId="54" fillId="0" borderId="15" xfId="7" applyNumberFormat="1" applyFont="1" applyBorder="1"/>
    <xf numFmtId="177" fontId="57" fillId="0" borderId="8" xfId="7" applyNumberFormat="1" applyFont="1" applyBorder="1"/>
    <xf numFmtId="177" fontId="57" fillId="0" borderId="1" xfId="7" applyNumberFormat="1" applyFont="1" applyBorder="1"/>
    <xf numFmtId="177" fontId="57" fillId="0" borderId="9" xfId="7" applyNumberFormat="1" applyFont="1" applyBorder="1"/>
    <xf numFmtId="177" fontId="57" fillId="0" borderId="10" xfId="7" applyNumberFormat="1" applyFont="1" applyBorder="1"/>
    <xf numFmtId="177" fontId="57" fillId="0" borderId="0" xfId="7" applyNumberFormat="1" applyFont="1"/>
    <xf numFmtId="177" fontId="57" fillId="0" borderId="11" xfId="7" applyNumberFormat="1" applyFont="1" applyBorder="1"/>
    <xf numFmtId="177" fontId="57" fillId="0" borderId="6" xfId="7" applyNumberFormat="1" applyFont="1" applyBorder="1"/>
    <xf numFmtId="177" fontId="57" fillId="0" borderId="2" xfId="7" applyNumberFormat="1" applyFont="1" applyBorder="1"/>
    <xf numFmtId="177" fontId="57" fillId="0" borderId="12" xfId="7" applyNumberFormat="1" applyFont="1" applyBorder="1"/>
    <xf numFmtId="177" fontId="57" fillId="0" borderId="15" xfId="7" applyNumberFormat="1" applyFont="1" applyBorder="1"/>
    <xf numFmtId="0" fontId="49" fillId="0" borderId="1" xfId="7" applyFont="1" applyBorder="1" applyAlignment="1">
      <alignment horizontal="left"/>
    </xf>
    <xf numFmtId="0" fontId="78" fillId="3" borderId="5" xfId="7" applyFont="1" applyFill="1" applyBorder="1" applyAlignment="1">
      <alignment horizontal="centerContinuous"/>
    </xf>
    <xf numFmtId="0" fontId="78" fillId="3" borderId="14" xfId="7" applyFont="1" applyFill="1" applyBorder="1" applyAlignment="1">
      <alignment horizontal="centerContinuous"/>
    </xf>
    <xf numFmtId="0" fontId="47" fillId="3" borderId="13" xfId="7" applyFont="1" applyFill="1" applyBorder="1" applyAlignment="1">
      <alignment horizontal="centerContinuous"/>
    </xf>
    <xf numFmtId="0" fontId="49" fillId="11" borderId="10" xfId="7" applyFont="1" applyFill="1" applyBorder="1" applyAlignment="1">
      <alignment horizontal="centerContinuous"/>
    </xf>
    <xf numFmtId="174" fontId="57" fillId="11" borderId="13" xfId="0" applyNumberFormat="1" applyFont="1" applyFill="1" applyBorder="1" applyAlignment="1">
      <alignment horizontal="center"/>
    </xf>
    <xf numFmtId="174" fontId="57" fillId="11" borderId="5" xfId="0" applyNumberFormat="1" applyFont="1" applyFill="1" applyBorder="1" applyAlignment="1">
      <alignment horizontal="center"/>
    </xf>
    <xf numFmtId="174" fontId="57" fillId="11" borderId="14" xfId="0" applyNumberFormat="1" applyFont="1" applyFill="1" applyBorder="1" applyAlignment="1">
      <alignment horizontal="center"/>
    </xf>
    <xf numFmtId="174" fontId="57" fillId="11" borderId="15" xfId="0" applyNumberFormat="1" applyFont="1" applyFill="1" applyBorder="1" applyAlignment="1">
      <alignment horizontal="center"/>
    </xf>
    <xf numFmtId="174" fontId="57" fillId="0" borderId="13" xfId="0" applyNumberFormat="1" applyFont="1" applyBorder="1" applyAlignment="1">
      <alignment horizontal="center"/>
    </xf>
    <xf numFmtId="174" fontId="57" fillId="0" borderId="5" xfId="0" applyNumberFormat="1" applyFont="1" applyBorder="1" applyAlignment="1">
      <alignment horizontal="center"/>
    </xf>
    <xf numFmtId="174" fontId="57" fillId="0" borderId="14" xfId="0" applyNumberFormat="1" applyFont="1" applyBorder="1" applyAlignment="1">
      <alignment horizontal="center"/>
    </xf>
    <xf numFmtId="174" fontId="57" fillId="0" borderId="15" xfId="0" applyNumberFormat="1" applyFont="1" applyBorder="1" applyAlignment="1">
      <alignment horizontal="center"/>
    </xf>
    <xf numFmtId="0" fontId="50" fillId="3" borderId="5" xfId="7" applyFont="1" applyFill="1" applyBorder="1" applyAlignment="1">
      <alignment horizontal="centerContinuous"/>
    </xf>
    <xf numFmtId="0" fontId="50" fillId="3" borderId="14" xfId="7" applyFont="1" applyFill="1" applyBorder="1" applyAlignment="1">
      <alignment horizontal="centerContinuous"/>
    </xf>
    <xf numFmtId="0" fontId="49" fillId="11" borderId="13" xfId="7" applyFont="1" applyFill="1" applyBorder="1" applyAlignment="1">
      <alignment horizontal="center"/>
    </xf>
    <xf numFmtId="0" fontId="49" fillId="11" borderId="5" xfId="7" applyFont="1" applyFill="1" applyBorder="1" applyAlignment="1">
      <alignment horizontal="center"/>
    </xf>
    <xf numFmtId="0" fontId="49" fillId="11" borderId="14" xfId="7" applyFont="1" applyFill="1" applyBorder="1" applyAlignment="1">
      <alignment horizontal="center"/>
    </xf>
    <xf numFmtId="0" fontId="49" fillId="11" borderId="15" xfId="7" applyFont="1" applyFill="1" applyBorder="1" applyAlignment="1">
      <alignment horizontal="center"/>
    </xf>
    <xf numFmtId="0" fontId="54" fillId="0" borderId="0" xfId="7" applyFont="1" applyAlignment="1">
      <alignment horizontal="center"/>
    </xf>
    <xf numFmtId="173" fontId="57" fillId="0" borderId="11" xfId="7" applyNumberFormat="1" applyFont="1" applyBorder="1"/>
    <xf numFmtId="0" fontId="30" fillId="0" borderId="0" xfId="7" applyFont="1"/>
    <xf numFmtId="0" fontId="29" fillId="0" borderId="0" xfId="12" applyFont="1"/>
    <xf numFmtId="168" fontId="57" fillId="0" borderId="0" xfId="2" applyNumberFormat="1" applyFont="1"/>
    <xf numFmtId="169" fontId="57" fillId="0" borderId="0" xfId="2" applyNumberFormat="1" applyFont="1"/>
    <xf numFmtId="0" fontId="48" fillId="0" borderId="0" xfId="12" applyFont="1"/>
    <xf numFmtId="44" fontId="66" fillId="0" borderId="0" xfId="2" applyNumberFormat="1" applyFont="1"/>
    <xf numFmtId="0" fontId="49" fillId="10" borderId="2" xfId="12" applyFont="1" applyFill="1" applyBorder="1"/>
    <xf numFmtId="0" fontId="29" fillId="10" borderId="2" xfId="12" applyFont="1" applyFill="1" applyBorder="1"/>
    <xf numFmtId="0" fontId="49" fillId="10" borderId="2" xfId="12" applyFont="1" applyFill="1" applyBorder="1" applyAlignment="1">
      <alignment horizontal="centerContinuous"/>
    </xf>
    <xf numFmtId="0" fontId="29" fillId="10" borderId="2" xfId="12" applyFont="1" applyFill="1" applyBorder="1" applyAlignment="1">
      <alignment horizontal="centerContinuous"/>
    </xf>
    <xf numFmtId="0" fontId="29" fillId="0" borderId="0" xfId="0" applyFont="1"/>
    <xf numFmtId="0" fontId="28" fillId="0" borderId="0" xfId="0" applyFont="1" applyAlignment="1">
      <alignment horizontal="left" indent="1"/>
    </xf>
    <xf numFmtId="180" fontId="57" fillId="2" borderId="7" xfId="0" applyNumberFormat="1" applyFont="1" applyFill="1" applyBorder="1" applyAlignment="1">
      <alignment horizontal="center"/>
    </xf>
    <xf numFmtId="0" fontId="28" fillId="0" borderId="0" xfId="11" applyFont="1"/>
    <xf numFmtId="44" fontId="66" fillId="0" borderId="0" xfId="11" applyNumberFormat="1" applyFont="1"/>
    <xf numFmtId="0" fontId="66" fillId="0" borderId="0" xfId="11" applyFont="1"/>
    <xf numFmtId="44" fontId="28" fillId="0" borderId="0" xfId="11" applyNumberFormat="1" applyFont="1"/>
    <xf numFmtId="43" fontId="66" fillId="0" borderId="0" xfId="11" applyNumberFormat="1" applyFont="1"/>
    <xf numFmtId="43" fontId="57" fillId="0" borderId="0" xfId="11" applyNumberFormat="1" applyFont="1"/>
    <xf numFmtId="183" fontId="57" fillId="0" borderId="1" xfId="2" applyNumberFormat="1" applyFont="1" applyBorder="1"/>
    <xf numFmtId="183" fontId="57" fillId="0" borderId="9" xfId="2" applyNumberFormat="1" applyFont="1" applyBorder="1"/>
    <xf numFmtId="183" fontId="57" fillId="0" borderId="0" xfId="2" applyNumberFormat="1" applyFont="1"/>
    <xf numFmtId="183" fontId="57" fillId="0" borderId="11" xfId="2" applyNumberFormat="1" applyFont="1" applyBorder="1"/>
    <xf numFmtId="183" fontId="60" fillId="4" borderId="5" xfId="2" applyNumberFormat="1" applyFont="1" applyFill="1" applyBorder="1"/>
    <xf numFmtId="183" fontId="60" fillId="4" borderId="14" xfId="2" applyNumberFormat="1" applyFont="1" applyFill="1" applyBorder="1"/>
    <xf numFmtId="183" fontId="57" fillId="0" borderId="2" xfId="2" applyNumberFormat="1" applyFont="1" applyBorder="1"/>
    <xf numFmtId="183" fontId="57" fillId="0" borderId="12" xfId="2" applyNumberFormat="1" applyFont="1" applyBorder="1"/>
    <xf numFmtId="43" fontId="54" fillId="0" borderId="0" xfId="1" applyNumberFormat="1" applyFont="1" applyFill="1" applyBorder="1"/>
    <xf numFmtId="0" fontId="28" fillId="0" borderId="0" xfId="11" applyFont="1" applyAlignment="1">
      <alignment horizontal="center"/>
    </xf>
    <xf numFmtId="177" fontId="57" fillId="0" borderId="0" xfId="9" applyNumberFormat="1" applyFont="1" applyAlignment="1">
      <alignment vertical="top" wrapText="1"/>
    </xf>
    <xf numFmtId="183" fontId="57" fillId="0" borderId="0" xfId="9" applyNumberFormat="1" applyFont="1" applyAlignment="1">
      <alignment vertical="top" wrapText="1"/>
    </xf>
    <xf numFmtId="0" fontId="27" fillId="0" borderId="0" xfId="0" applyFont="1"/>
    <xf numFmtId="0" fontId="61" fillId="0" borderId="0" xfId="0" applyFont="1" applyAlignment="1">
      <alignment horizontal="left" indent="1"/>
    </xf>
    <xf numFmtId="0" fontId="47" fillId="9" borderId="2" xfId="0" applyFont="1" applyFill="1" applyBorder="1"/>
    <xf numFmtId="0" fontId="59" fillId="9" borderId="2" xfId="0" applyFont="1" applyFill="1" applyBorder="1" applyAlignment="1">
      <alignment horizontal="center"/>
    </xf>
    <xf numFmtId="0" fontId="51" fillId="0" borderId="0" xfId="0" applyFont="1" applyAlignment="1">
      <alignment horizontal="center"/>
    </xf>
    <xf numFmtId="0" fontId="51" fillId="0" borderId="0" xfId="0" applyFont="1" applyAlignment="1">
      <alignment horizontal="left" indent="1"/>
    </xf>
    <xf numFmtId="0" fontId="64" fillId="0" borderId="0" xfId="0" applyFont="1"/>
    <xf numFmtId="0" fontId="69" fillId="0" borderId="0" xfId="0" applyFont="1" applyAlignment="1">
      <alignment horizontal="left" indent="1"/>
    </xf>
    <xf numFmtId="0" fontId="69" fillId="0" borderId="2" xfId="0" applyFont="1" applyBorder="1" applyAlignment="1">
      <alignment horizontal="left" indent="1"/>
    </xf>
    <xf numFmtId="0" fontId="68" fillId="0" borderId="0" xfId="0" applyFont="1" applyAlignment="1">
      <alignment horizontal="left" indent="1"/>
    </xf>
    <xf numFmtId="0" fontId="50" fillId="9" borderId="2" xfId="0" applyFont="1" applyFill="1" applyBorder="1"/>
    <xf numFmtId="0" fontId="58" fillId="9" borderId="2" xfId="0" applyFont="1" applyFill="1" applyBorder="1"/>
    <xf numFmtId="0" fontId="45" fillId="0" borderId="0" xfId="2" applyFont="1"/>
    <xf numFmtId="0" fontId="52" fillId="3" borderId="0" xfId="7" applyFont="1" applyFill="1" applyAlignment="1">
      <alignment horizontal="left"/>
    </xf>
    <xf numFmtId="0" fontId="26" fillId="0" borderId="0" xfId="7" applyFont="1"/>
    <xf numFmtId="0" fontId="26" fillId="0" borderId="0" xfId="7" applyFont="1" applyAlignment="1">
      <alignment horizontal="center"/>
    </xf>
    <xf numFmtId="0" fontId="26" fillId="11" borderId="0" xfId="7" applyFont="1" applyFill="1" applyAlignment="1">
      <alignment horizontal="centerContinuous"/>
    </xf>
    <xf numFmtId="0" fontId="26" fillId="11" borderId="11" xfId="7" applyFont="1" applyFill="1" applyBorder="1" applyAlignment="1">
      <alignment horizontal="centerContinuous"/>
    </xf>
    <xf numFmtId="0" fontId="26" fillId="0" borderId="0" xfId="7" applyFont="1" applyAlignment="1">
      <alignment horizontal="left"/>
    </xf>
    <xf numFmtId="0" fontId="26" fillId="0" borderId="0" xfId="7" applyFont="1" applyAlignment="1">
      <alignment horizontal="left" indent="1"/>
    </xf>
    <xf numFmtId="0" fontId="26" fillId="0" borderId="1" xfId="7" applyFont="1" applyBorder="1" applyAlignment="1">
      <alignment horizontal="left" indent="1"/>
    </xf>
    <xf numFmtId="166" fontId="26" fillId="0" borderId="0" xfId="7" applyNumberFormat="1" applyFont="1"/>
    <xf numFmtId="0" fontId="26" fillId="0" borderId="6" xfId="7" applyFont="1" applyBorder="1"/>
    <xf numFmtId="6" fontId="26" fillId="0" borderId="0" xfId="7" applyNumberFormat="1" applyFont="1"/>
    <xf numFmtId="9" fontId="26" fillId="0" borderId="11" xfId="7" applyNumberFormat="1" applyFont="1" applyBorder="1"/>
    <xf numFmtId="0" fontId="26" fillId="6" borderId="0" xfId="7" applyFont="1" applyFill="1" applyAlignment="1">
      <alignment horizontal="centerContinuous"/>
    </xf>
    <xf numFmtId="0" fontId="26" fillId="6" borderId="11" xfId="7" applyFont="1" applyFill="1" applyBorder="1" applyAlignment="1">
      <alignment horizontal="centerContinuous"/>
    </xf>
    <xf numFmtId="169" fontId="26" fillId="0" borderId="0" xfId="7" applyNumberFormat="1" applyFont="1"/>
    <xf numFmtId="0" fontId="26" fillId="6" borderId="2" xfId="7" applyFont="1" applyFill="1" applyBorder="1" applyAlignment="1">
      <alignment horizontal="centerContinuous"/>
    </xf>
    <xf numFmtId="0" fontId="26" fillId="0" borderId="10" xfId="7" applyFont="1" applyBorder="1"/>
    <xf numFmtId="0" fontId="26" fillId="0" borderId="11" xfId="7" applyFont="1" applyBorder="1"/>
    <xf numFmtId="0" fontId="26" fillId="6" borderId="21" xfId="7" applyFont="1" applyFill="1" applyBorder="1" applyAlignment="1">
      <alignment horizontal="centerContinuous"/>
    </xf>
    <xf numFmtId="0" fontId="26" fillId="6" borderId="16" xfId="7" applyFont="1" applyFill="1" applyBorder="1" applyAlignment="1">
      <alignment horizontal="centerContinuous"/>
    </xf>
    <xf numFmtId="0" fontId="26" fillId="6" borderId="1" xfId="7" applyFont="1" applyFill="1" applyBorder="1" applyAlignment="1">
      <alignment horizontal="centerContinuous"/>
    </xf>
    <xf numFmtId="0" fontId="26" fillId="6" borderId="10" xfId="7" applyFont="1" applyFill="1" applyBorder="1"/>
    <xf numFmtId="0" fontId="26" fillId="6" borderId="0" xfId="7" applyFont="1" applyFill="1"/>
    <xf numFmtId="0" fontId="26" fillId="6" borderId="11" xfId="7" applyFont="1" applyFill="1" applyBorder="1"/>
    <xf numFmtId="176" fontId="26" fillId="0" borderId="15" xfId="7" applyNumberFormat="1" applyFont="1" applyBorder="1"/>
    <xf numFmtId="176" fontId="26" fillId="0" borderId="0" xfId="7" applyNumberFormat="1" applyFont="1"/>
    <xf numFmtId="0" fontId="26" fillId="7" borderId="10" xfId="7" applyFont="1" applyFill="1" applyBorder="1"/>
    <xf numFmtId="4" fontId="26" fillId="7" borderId="14" xfId="7" applyNumberFormat="1" applyFont="1" applyFill="1" applyBorder="1"/>
    <xf numFmtId="44" fontId="26" fillId="0" borderId="0" xfId="7" applyNumberFormat="1" applyFont="1"/>
    <xf numFmtId="4" fontId="26" fillId="7" borderId="9" xfId="7" applyNumberFormat="1" applyFont="1" applyFill="1" applyBorder="1"/>
    <xf numFmtId="0" fontId="26" fillId="6" borderId="6" xfId="7" applyFont="1" applyFill="1" applyBorder="1"/>
    <xf numFmtId="0" fontId="26" fillId="6" borderId="2" xfId="7" applyFont="1" applyFill="1" applyBorder="1"/>
    <xf numFmtId="0" fontId="26" fillId="0" borderId="8" xfId="7" applyFont="1" applyBorder="1"/>
    <xf numFmtId="0" fontId="26" fillId="0" borderId="9" xfId="7" applyFont="1" applyBorder="1"/>
    <xf numFmtId="0" fontId="26" fillId="6" borderId="9" xfId="7" applyFont="1" applyFill="1" applyBorder="1" applyAlignment="1">
      <alignment horizontal="centerContinuous"/>
    </xf>
    <xf numFmtId="0" fontId="26" fillId="6" borderId="9" xfId="7" applyFont="1" applyFill="1" applyBorder="1"/>
    <xf numFmtId="1" fontId="66" fillId="0" borderId="0" xfId="2" applyNumberFormat="1" applyFont="1"/>
    <xf numFmtId="0" fontId="66" fillId="0" borderId="0" xfId="2" applyFont="1"/>
    <xf numFmtId="0" fontId="53" fillId="3" borderId="0" xfId="2" applyFont="1" applyFill="1"/>
    <xf numFmtId="44" fontId="54" fillId="0" borderId="0" xfId="9" applyNumberFormat="1" applyFont="1" applyAlignment="1">
      <alignment vertical="top" wrapText="1"/>
    </xf>
    <xf numFmtId="43" fontId="54" fillId="0" borderId="0" xfId="9" applyNumberFormat="1" applyFont="1" applyAlignment="1">
      <alignment vertical="top" wrapText="1"/>
    </xf>
    <xf numFmtId="0" fontId="25" fillId="0" borderId="0" xfId="8" applyFont="1"/>
    <xf numFmtId="0" fontId="39" fillId="0" borderId="0" xfId="2" applyFont="1"/>
    <xf numFmtId="0" fontId="79" fillId="0" borderId="0" xfId="2" applyFont="1"/>
    <xf numFmtId="184" fontId="47" fillId="5" borderId="5" xfId="2" applyNumberFormat="1" applyFont="1" applyFill="1" applyBorder="1"/>
    <xf numFmtId="0" fontId="24" fillId="0" borderId="0" xfId="0" applyFont="1"/>
    <xf numFmtId="43" fontId="24" fillId="0" borderId="0" xfId="0" applyNumberFormat="1" applyFont="1"/>
    <xf numFmtId="0" fontId="23" fillId="0" borderId="0" xfId="12" applyFont="1"/>
    <xf numFmtId="0" fontId="23" fillId="0" borderId="0" xfId="11" applyFont="1"/>
    <xf numFmtId="42" fontId="54" fillId="0" borderId="0" xfId="0" applyNumberFormat="1" applyFont="1"/>
    <xf numFmtId="0" fontId="22" fillId="0" borderId="0" xfId="0" applyFont="1" applyAlignment="1">
      <alignment horizontal="left" indent="1"/>
    </xf>
    <xf numFmtId="37" fontId="54" fillId="0" borderId="0" xfId="1" applyNumberFormat="1" applyFont="1" applyFill="1" applyBorder="1" applyAlignment="1">
      <alignment horizontal="center"/>
    </xf>
    <xf numFmtId="44" fontId="54" fillId="0" borderId="0" xfId="1" applyNumberFormat="1" applyFont="1" applyFill="1" applyBorder="1"/>
    <xf numFmtId="167" fontId="56" fillId="0" borderId="0" xfId="1" applyNumberFormat="1" applyFont="1" applyFill="1" applyBorder="1" applyAlignment="1">
      <alignment horizontal="center"/>
    </xf>
    <xf numFmtId="49" fontId="54" fillId="0" borderId="0" xfId="1" applyNumberFormat="1" applyFont="1" applyFill="1" applyBorder="1" applyAlignment="1">
      <alignment horizontal="left"/>
    </xf>
    <xf numFmtId="49" fontId="54" fillId="0" borderId="0" xfId="1" applyNumberFormat="1" applyFont="1" applyFill="1" applyBorder="1" applyAlignment="1">
      <alignment horizontal="center"/>
    </xf>
    <xf numFmtId="166" fontId="32" fillId="0" borderId="0" xfId="0" applyNumberFormat="1" applyFont="1"/>
    <xf numFmtId="173" fontId="51" fillId="0" borderId="0" xfId="0" applyNumberFormat="1" applyFont="1"/>
    <xf numFmtId="42" fontId="57" fillId="0" borderId="0" xfId="0" applyNumberFormat="1" applyFont="1"/>
    <xf numFmtId="43" fontId="55" fillId="2" borderId="3" xfId="1" applyNumberFormat="1" applyFont="1" applyAlignment="1"/>
    <xf numFmtId="0" fontId="22" fillId="0" borderId="0" xfId="0" applyFont="1" applyAlignment="1">
      <alignment horizontal="left"/>
    </xf>
    <xf numFmtId="0" fontId="21" fillId="0" borderId="0" xfId="0" applyFont="1"/>
    <xf numFmtId="0" fontId="21" fillId="0" borderId="0" xfId="0" applyFont="1" applyAlignment="1">
      <alignment horizontal="left" indent="1"/>
    </xf>
    <xf numFmtId="0" fontId="49" fillId="0" borderId="1" xfId="0" applyFont="1" applyBorder="1"/>
    <xf numFmtId="41" fontId="49" fillId="0" borderId="0" xfId="0" applyNumberFormat="1" applyFont="1"/>
    <xf numFmtId="42" fontId="54" fillId="0" borderId="0" xfId="0" applyNumberFormat="1" applyFont="1" applyAlignment="1">
      <alignment horizontal="center"/>
    </xf>
    <xf numFmtId="0" fontId="51" fillId="0" borderId="2" xfId="0" applyFont="1" applyBorder="1" applyAlignment="1">
      <alignment horizontal="center"/>
    </xf>
    <xf numFmtId="0" fontId="51" fillId="0" borderId="1" xfId="0" applyFont="1" applyBorder="1" applyAlignment="1">
      <alignment horizontal="center"/>
    </xf>
    <xf numFmtId="0" fontId="21" fillId="0" borderId="2" xfId="0" applyFont="1" applyBorder="1" applyAlignment="1">
      <alignment horizontal="left" indent="1"/>
    </xf>
    <xf numFmtId="0" fontId="49" fillId="7" borderId="2" xfId="0" applyFont="1" applyFill="1" applyBorder="1"/>
    <xf numFmtId="0" fontId="20" fillId="0" borderId="0" xfId="0" applyFont="1"/>
    <xf numFmtId="0" fontId="20" fillId="0" borderId="0" xfId="0" applyFont="1" applyAlignment="1">
      <alignment horizontal="left" indent="1"/>
    </xf>
    <xf numFmtId="49" fontId="20" fillId="0" borderId="0" xfId="0" applyNumberFormat="1" applyFont="1" applyAlignment="1">
      <alignment horizontal="left" indent="1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left" indent="1"/>
    </xf>
    <xf numFmtId="186" fontId="54" fillId="0" borderId="0" xfId="0" applyNumberFormat="1" applyFont="1"/>
    <xf numFmtId="186" fontId="57" fillId="0" borderId="2" xfId="0" applyNumberFormat="1" applyFont="1" applyBorder="1"/>
    <xf numFmtId="186" fontId="57" fillId="0" borderId="0" xfId="0" applyNumberFormat="1" applyFont="1"/>
    <xf numFmtId="173" fontId="56" fillId="2" borderId="3" xfId="1" applyNumberFormat="1" applyFont="1" applyAlignment="1">
      <alignment horizontal="center"/>
    </xf>
    <xf numFmtId="0" fontId="19" fillId="0" borderId="0" xfId="0" applyFont="1"/>
    <xf numFmtId="0" fontId="64" fillId="0" borderId="0" xfId="0" applyFont="1" applyAlignment="1">
      <alignment horizontal="center"/>
    </xf>
    <xf numFmtId="41" fontId="57" fillId="0" borderId="0" xfId="0" applyNumberFormat="1" applyFont="1"/>
    <xf numFmtId="0" fontId="19" fillId="0" borderId="0" xfId="0" applyFont="1" applyAlignment="1">
      <alignment horizontal="left" indent="1"/>
    </xf>
    <xf numFmtId="42" fontId="57" fillId="0" borderId="0" xfId="0" applyNumberFormat="1" applyFont="1" applyAlignment="1">
      <alignment horizontal="center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188" fontId="19" fillId="0" borderId="0" xfId="0" applyNumberFormat="1" applyFont="1"/>
    <xf numFmtId="189" fontId="19" fillId="0" borderId="0" xfId="0" applyNumberFormat="1" applyFont="1"/>
    <xf numFmtId="167" fontId="55" fillId="0" borderId="0" xfId="1" applyNumberFormat="1" applyFont="1" applyFill="1" applyBorder="1"/>
    <xf numFmtId="189" fontId="56" fillId="2" borderId="3" xfId="1" applyNumberFormat="1" applyFont="1" applyAlignment="1">
      <alignment horizontal="center"/>
    </xf>
    <xf numFmtId="41" fontId="60" fillId="0" borderId="1" xfId="0" applyNumberFormat="1" applyFont="1" applyBorder="1"/>
    <xf numFmtId="169" fontId="57" fillId="2" borderId="3" xfId="0" applyNumberFormat="1" applyFont="1" applyFill="1" applyBorder="1" applyAlignment="1">
      <alignment horizontal="center"/>
    </xf>
    <xf numFmtId="186" fontId="54" fillId="2" borderId="3" xfId="0" applyNumberFormat="1" applyFont="1" applyFill="1" applyBorder="1" applyAlignment="1">
      <alignment horizontal="center"/>
    </xf>
    <xf numFmtId="186" fontId="57" fillId="2" borderId="3" xfId="0" applyNumberFormat="1" applyFont="1" applyFill="1" applyBorder="1" applyAlignment="1">
      <alignment horizontal="center"/>
    </xf>
    <xf numFmtId="0" fontId="18" fillId="0" borderId="0" xfId="0" applyFont="1"/>
    <xf numFmtId="49" fontId="18" fillId="0" borderId="0" xfId="0" applyNumberFormat="1" applyFont="1" applyAlignment="1">
      <alignment horizontal="left" indent="1"/>
    </xf>
    <xf numFmtId="186" fontId="18" fillId="0" borderId="0" xfId="0" applyNumberFormat="1" applyFont="1"/>
    <xf numFmtId="0" fontId="18" fillId="0" borderId="0" xfId="0" applyFont="1" applyAlignment="1">
      <alignment horizontal="left" indent="1"/>
    </xf>
    <xf numFmtId="186" fontId="49" fillId="0" borderId="1" xfId="0" applyNumberFormat="1" applyFont="1" applyBorder="1"/>
    <xf numFmtId="186" fontId="49" fillId="0" borderId="0" xfId="0" applyNumberFormat="1" applyFont="1"/>
    <xf numFmtId="9" fontId="32" fillId="0" borderId="0" xfId="0" applyNumberFormat="1" applyFont="1"/>
    <xf numFmtId="0" fontId="18" fillId="0" borderId="0" xfId="0" applyFont="1" applyAlignment="1">
      <alignment horizontal="left"/>
    </xf>
    <xf numFmtId="0" fontId="80" fillId="0" borderId="0" xfId="0" applyFont="1" applyAlignment="1">
      <alignment vertical="center"/>
    </xf>
    <xf numFmtId="0" fontId="59" fillId="0" borderId="0" xfId="0" applyFont="1" applyAlignment="1">
      <alignment horizontal="center"/>
    </xf>
    <xf numFmtId="164" fontId="47" fillId="0" borderId="0" xfId="0" applyNumberFormat="1" applyFont="1" applyAlignment="1">
      <alignment horizontal="center"/>
    </xf>
    <xf numFmtId="173" fontId="18" fillId="0" borderId="0" xfId="0" applyNumberFormat="1" applyFont="1"/>
    <xf numFmtId="41" fontId="66" fillId="0" borderId="0" xfId="0" applyNumberFormat="1" applyFont="1"/>
    <xf numFmtId="0" fontId="67" fillId="12" borderId="0" xfId="0" applyFont="1" applyFill="1"/>
    <xf numFmtId="0" fontId="51" fillId="12" borderId="0" xfId="0" applyFont="1" applyFill="1" applyAlignment="1">
      <alignment horizontal="center"/>
    </xf>
    <xf numFmtId="0" fontId="49" fillId="0" borderId="0" xfId="0" applyFont="1" applyAlignment="1">
      <alignment horizontal="left"/>
    </xf>
    <xf numFmtId="42" fontId="81" fillId="0" borderId="0" xfId="0" applyNumberFormat="1" applyFont="1"/>
    <xf numFmtId="0" fontId="63" fillId="0" borderId="0" xfId="2" applyFont="1" applyAlignment="1">
      <alignment horizontal="center"/>
    </xf>
    <xf numFmtId="171" fontId="57" fillId="0" borderId="0" xfId="1" applyNumberFormat="1" applyFont="1" applyFill="1" applyBorder="1" applyAlignment="1">
      <alignment horizontal="center"/>
    </xf>
    <xf numFmtId="170" fontId="57" fillId="0" borderId="0" xfId="2" applyNumberFormat="1" applyFont="1"/>
    <xf numFmtId="0" fontId="60" fillId="8" borderId="0" xfId="2" applyFont="1" applyFill="1"/>
    <xf numFmtId="0" fontId="63" fillId="0" borderId="0" xfId="2" applyFont="1" applyAlignment="1">
      <alignment horizontal="left" indent="1"/>
    </xf>
    <xf numFmtId="0" fontId="63" fillId="8" borderId="0" xfId="2" applyFont="1" applyFill="1" applyAlignment="1">
      <alignment horizontal="center"/>
    </xf>
    <xf numFmtId="185" fontId="60" fillId="8" borderId="0" xfId="2" applyNumberFormat="1" applyFont="1" applyFill="1"/>
    <xf numFmtId="167" fontId="63" fillId="0" borderId="0" xfId="2" applyNumberFormat="1" applyFont="1"/>
    <xf numFmtId="41" fontId="66" fillId="0" borderId="2" xfId="0" applyNumberFormat="1" applyFont="1" applyBorder="1"/>
    <xf numFmtId="0" fontId="32" fillId="9" borderId="0" xfId="0" applyFont="1" applyFill="1"/>
    <xf numFmtId="0" fontId="51" fillId="9" borderId="0" xfId="0" applyFont="1" applyFill="1"/>
    <xf numFmtId="0" fontId="52" fillId="9" borderId="2" xfId="0" applyFont="1" applyFill="1" applyBorder="1" applyAlignment="1">
      <alignment horizontal="left"/>
    </xf>
    <xf numFmtId="0" fontId="53" fillId="9" borderId="2" xfId="0" applyFont="1" applyFill="1" applyBorder="1" applyAlignment="1">
      <alignment horizontal="left"/>
    </xf>
    <xf numFmtId="171" fontId="54" fillId="0" borderId="0" xfId="1" applyNumberFormat="1" applyFont="1" applyFill="1" applyBorder="1" applyAlignment="1">
      <alignment horizontal="center"/>
    </xf>
    <xf numFmtId="0" fontId="60" fillId="7" borderId="2" xfId="2" applyFont="1" applyFill="1" applyBorder="1" applyAlignment="1">
      <alignment horizontal="left"/>
    </xf>
    <xf numFmtId="0" fontId="60" fillId="7" borderId="1" xfId="2" applyFont="1" applyFill="1" applyBorder="1" applyAlignment="1">
      <alignment horizontal="left"/>
    </xf>
    <xf numFmtId="0" fontId="57" fillId="7" borderId="1" xfId="2" applyFont="1" applyFill="1" applyBorder="1"/>
    <xf numFmtId="0" fontId="18" fillId="7" borderId="2" xfId="0" applyFont="1" applyFill="1" applyBorder="1"/>
    <xf numFmtId="193" fontId="54" fillId="2" borderId="7" xfId="0" applyNumberFormat="1" applyFont="1" applyFill="1" applyBorder="1" applyAlignment="1">
      <alignment horizontal="center"/>
    </xf>
    <xf numFmtId="168" fontId="60" fillId="0" borderId="0" xfId="2" applyNumberFormat="1" applyFont="1"/>
    <xf numFmtId="0" fontId="57" fillId="0" borderId="2" xfId="2" applyFont="1" applyBorder="1" applyAlignment="1">
      <alignment horizontal="left" indent="1"/>
    </xf>
    <xf numFmtId="0" fontId="60" fillId="7" borderId="0" xfId="2" applyFont="1" applyFill="1"/>
    <xf numFmtId="0" fontId="57" fillId="7" borderId="0" xfId="2" applyFont="1" applyFill="1"/>
    <xf numFmtId="0" fontId="63" fillId="0" borderId="0" xfId="2" applyFont="1"/>
    <xf numFmtId="170" fontId="57" fillId="0" borderId="0" xfId="0" applyNumberFormat="1" applyFont="1"/>
    <xf numFmtId="0" fontId="60" fillId="13" borderId="8" xfId="2" applyFont="1" applyFill="1" applyBorder="1"/>
    <xf numFmtId="0" fontId="57" fillId="13" borderId="1" xfId="2" applyFont="1" applyFill="1" applyBorder="1"/>
    <xf numFmtId="44" fontId="60" fillId="13" borderId="9" xfId="2" applyNumberFormat="1" applyFont="1" applyFill="1" applyBorder="1"/>
    <xf numFmtId="0" fontId="60" fillId="13" borderId="6" xfId="2" applyFont="1" applyFill="1" applyBorder="1"/>
    <xf numFmtId="0" fontId="57" fillId="13" borderId="2" xfId="2" applyFont="1" applyFill="1" applyBorder="1"/>
    <xf numFmtId="167" fontId="60" fillId="13" borderId="12" xfId="2" applyNumberFormat="1" applyFont="1" applyFill="1" applyBorder="1"/>
    <xf numFmtId="195" fontId="18" fillId="0" borderId="0" xfId="0" applyNumberFormat="1" applyFont="1"/>
    <xf numFmtId="186" fontId="18" fillId="0" borderId="2" xfId="0" applyNumberFormat="1" applyFont="1" applyBorder="1"/>
    <xf numFmtId="185" fontId="18" fillId="0" borderId="0" xfId="0" applyNumberFormat="1" applyFont="1"/>
    <xf numFmtId="172" fontId="57" fillId="0" borderId="0" xfId="2" applyNumberFormat="1" applyFont="1" applyAlignment="1">
      <alignment horizontal="center"/>
    </xf>
    <xf numFmtId="186" fontId="60" fillId="7" borderId="0" xfId="2" applyNumberFormat="1" applyFont="1" applyFill="1"/>
    <xf numFmtId="0" fontId="18" fillId="0" borderId="0" xfId="0" applyFont="1" applyAlignment="1">
      <alignment horizontal="center"/>
    </xf>
    <xf numFmtId="0" fontId="22" fillId="0" borderId="0" xfId="0" applyFont="1" applyAlignment="1">
      <alignment horizontal="left" indent="2"/>
    </xf>
    <xf numFmtId="173" fontId="18" fillId="0" borderId="0" xfId="0" applyNumberFormat="1" applyFont="1" applyAlignment="1">
      <alignment horizontal="center"/>
    </xf>
    <xf numFmtId="42" fontId="60" fillId="0" borderId="0" xfId="0" applyNumberFormat="1" applyFont="1"/>
    <xf numFmtId="0" fontId="69" fillId="0" borderId="0" xfId="0" applyFont="1" applyAlignment="1">
      <alignment horizontal="left" indent="2"/>
    </xf>
    <xf numFmtId="0" fontId="47" fillId="0" borderId="0" xfId="0" applyFont="1"/>
    <xf numFmtId="41" fontId="18" fillId="0" borderId="0" xfId="0" applyNumberFormat="1" applyFont="1"/>
    <xf numFmtId="41" fontId="49" fillId="7" borderId="0" xfId="0" applyNumberFormat="1" applyFont="1" applyFill="1"/>
    <xf numFmtId="193" fontId="54" fillId="0" borderId="0" xfId="0" applyNumberFormat="1" applyFont="1" applyAlignment="1">
      <alignment horizontal="center"/>
    </xf>
    <xf numFmtId="194" fontId="54" fillId="0" borderId="0" xfId="0" applyNumberFormat="1" applyFont="1" applyAlignment="1">
      <alignment horizontal="center"/>
    </xf>
    <xf numFmtId="193" fontId="57" fillId="0" borderId="22" xfId="0" applyNumberFormat="1" applyFont="1" applyBorder="1" applyAlignment="1">
      <alignment horizontal="center"/>
    </xf>
    <xf numFmtId="41" fontId="57" fillId="0" borderId="0" xfId="2" applyNumberFormat="1" applyFont="1"/>
    <xf numFmtId="41" fontId="65" fillId="12" borderId="0" xfId="0" applyNumberFormat="1" applyFont="1" applyFill="1"/>
    <xf numFmtId="185" fontId="60" fillId="0" borderId="1" xfId="7" applyNumberFormat="1" applyFont="1" applyBorder="1"/>
    <xf numFmtId="0" fontId="77" fillId="0" borderId="0" xfId="10" applyFont="1" applyAlignment="1">
      <alignment horizontal="right"/>
    </xf>
    <xf numFmtId="185" fontId="57" fillId="0" borderId="15" xfId="7" applyNumberFormat="1" applyFont="1" applyBorder="1"/>
    <xf numFmtId="185" fontId="54" fillId="0" borderId="15" xfId="7" applyNumberFormat="1" applyFont="1" applyBorder="1"/>
    <xf numFmtId="41" fontId="57" fillId="0" borderId="15" xfId="7" applyNumberFormat="1" applyFont="1" applyBorder="1"/>
    <xf numFmtId="41" fontId="54" fillId="0" borderId="15" xfId="7" applyNumberFormat="1" applyFont="1" applyBorder="1"/>
    <xf numFmtId="185" fontId="54" fillId="0" borderId="10" xfId="7" applyNumberFormat="1" applyFont="1" applyBorder="1"/>
    <xf numFmtId="185" fontId="54" fillId="0" borderId="0" xfId="7" applyNumberFormat="1" applyFont="1"/>
    <xf numFmtId="185" fontId="57" fillId="0" borderId="11" xfId="7" applyNumberFormat="1" applyFont="1" applyBorder="1"/>
    <xf numFmtId="185" fontId="60" fillId="0" borderId="8" xfId="7" applyNumberFormat="1" applyFont="1" applyBorder="1"/>
    <xf numFmtId="185" fontId="60" fillId="0" borderId="9" xfId="7" applyNumberFormat="1" applyFont="1" applyBorder="1"/>
    <xf numFmtId="186" fontId="54" fillId="0" borderId="10" xfId="7" applyNumberFormat="1" applyFont="1" applyBorder="1"/>
    <xf numFmtId="186" fontId="54" fillId="0" borderId="0" xfId="7" applyNumberFormat="1" applyFont="1"/>
    <xf numFmtId="186" fontId="57" fillId="0" borderId="11" xfId="7" applyNumberFormat="1" applyFont="1" applyBorder="1"/>
    <xf numFmtId="186" fontId="57" fillId="0" borderId="15" xfId="7" applyNumberFormat="1" applyFont="1" applyBorder="1"/>
    <xf numFmtId="41" fontId="26" fillId="0" borderId="15" xfId="7" applyNumberFormat="1" applyFont="1" applyBorder="1"/>
    <xf numFmtId="42" fontId="26" fillId="0" borderId="15" xfId="7" applyNumberFormat="1" applyFont="1" applyBorder="1"/>
    <xf numFmtId="42" fontId="57" fillId="0" borderId="15" xfId="7" applyNumberFormat="1" applyFont="1" applyBorder="1"/>
    <xf numFmtId="186" fontId="57" fillId="0" borderId="0" xfId="7" applyNumberFormat="1" applyFont="1"/>
    <xf numFmtId="176" fontId="57" fillId="0" borderId="15" xfId="7" applyNumberFormat="1" applyFont="1" applyBorder="1"/>
    <xf numFmtId="185" fontId="66" fillId="0" borderId="0" xfId="7" applyNumberFormat="1" applyFont="1"/>
    <xf numFmtId="186" fontId="66" fillId="0" borderId="0" xfId="7" applyNumberFormat="1" applyFont="1"/>
    <xf numFmtId="173" fontId="66" fillId="0" borderId="11" xfId="7" applyNumberFormat="1" applyFont="1" applyBorder="1"/>
    <xf numFmtId="42" fontId="57" fillId="0" borderId="0" xfId="2" applyNumberFormat="1" applyFont="1"/>
    <xf numFmtId="41" fontId="60" fillId="4" borderId="5" xfId="2" applyNumberFormat="1" applyFont="1" applyFill="1" applyBorder="1"/>
    <xf numFmtId="41" fontId="57" fillId="0" borderId="2" xfId="2" applyNumberFormat="1" applyFont="1" applyBorder="1"/>
    <xf numFmtId="43" fontId="60" fillId="4" borderId="5" xfId="2" applyNumberFormat="1" applyFont="1" applyFill="1" applyBorder="1"/>
    <xf numFmtId="185" fontId="57" fillId="0" borderId="0" xfId="2" applyNumberFormat="1" applyFont="1"/>
    <xf numFmtId="186" fontId="57" fillId="0" borderId="0" xfId="2" applyNumberFormat="1" applyFont="1"/>
    <xf numFmtId="185" fontId="57" fillId="0" borderId="1" xfId="2" applyNumberFormat="1" applyFont="1" applyBorder="1"/>
    <xf numFmtId="186" fontId="60" fillId="4" borderId="5" xfId="2" applyNumberFormat="1" applyFont="1" applyFill="1" applyBorder="1"/>
    <xf numFmtId="186" fontId="57" fillId="0" borderId="2" xfId="2" applyNumberFormat="1" applyFont="1" applyBorder="1"/>
    <xf numFmtId="186" fontId="66" fillId="0" borderId="0" xfId="0" applyNumberFormat="1" applyFont="1"/>
    <xf numFmtId="41" fontId="66" fillId="0" borderId="15" xfId="7" applyNumberFormat="1" applyFont="1" applyBorder="1"/>
    <xf numFmtId="44" fontId="66" fillId="0" borderId="15" xfId="7" applyNumberFormat="1" applyFont="1" applyBorder="1"/>
    <xf numFmtId="42" fontId="66" fillId="0" borderId="15" xfId="7" applyNumberFormat="1" applyFont="1" applyBorder="1"/>
    <xf numFmtId="185" fontId="56" fillId="0" borderId="0" xfId="0" applyNumberFormat="1" applyFont="1"/>
    <xf numFmtId="186" fontId="56" fillId="0" borderId="0" xfId="0" applyNumberFormat="1" applyFont="1"/>
    <xf numFmtId="185" fontId="60" fillId="4" borderId="5" xfId="2" applyNumberFormat="1" applyFont="1" applyFill="1" applyBorder="1"/>
    <xf numFmtId="171" fontId="66" fillId="2" borderId="3" xfId="1" applyNumberFormat="1" applyFont="1" applyAlignment="1">
      <alignment horizontal="center"/>
    </xf>
    <xf numFmtId="0" fontId="59" fillId="9" borderId="2" xfId="0" applyFont="1" applyFill="1" applyBorder="1"/>
    <xf numFmtId="0" fontId="50" fillId="3" borderId="8" xfId="0" applyFont="1" applyFill="1" applyBorder="1"/>
    <xf numFmtId="0" fontId="50" fillId="3" borderId="5" xfId="0" applyFont="1" applyFill="1" applyBorder="1"/>
    <xf numFmtId="0" fontId="47" fillId="3" borderId="5" xfId="0" applyFont="1" applyFill="1" applyBorder="1" applyAlignment="1">
      <alignment horizontal="centerContinuous"/>
    </xf>
    <xf numFmtId="0" fontId="47" fillId="3" borderId="14" xfId="0" applyFont="1" applyFill="1" applyBorder="1" applyAlignment="1">
      <alignment horizontal="centerContinuous"/>
    </xf>
    <xf numFmtId="0" fontId="50" fillId="3" borderId="10" xfId="0" applyFont="1" applyFill="1" applyBorder="1"/>
    <xf numFmtId="167" fontId="70" fillId="14" borderId="10" xfId="0" applyNumberFormat="1" applyFont="1" applyFill="1" applyBorder="1"/>
    <xf numFmtId="196" fontId="47" fillId="14" borderId="0" xfId="0" applyNumberFormat="1" applyFont="1" applyFill="1" applyAlignment="1">
      <alignment horizontal="center"/>
    </xf>
    <xf numFmtId="171" fontId="47" fillId="14" borderId="0" xfId="0" applyNumberFormat="1" applyFont="1" applyFill="1" applyAlignment="1">
      <alignment horizontal="center"/>
    </xf>
    <xf numFmtId="44" fontId="69" fillId="0" borderId="8" xfId="0" applyNumberFormat="1" applyFont="1" applyBorder="1"/>
    <xf numFmtId="44" fontId="69" fillId="0" borderId="1" xfId="0" applyNumberFormat="1" applyFont="1" applyBorder="1"/>
    <xf numFmtId="44" fontId="18" fillId="0" borderId="1" xfId="0" applyNumberFormat="1" applyFont="1" applyBorder="1"/>
    <xf numFmtId="44" fontId="18" fillId="0" borderId="0" xfId="0" applyNumberFormat="1" applyFont="1"/>
    <xf numFmtId="43" fontId="69" fillId="0" borderId="10" xfId="0" applyNumberFormat="1" applyFont="1" applyBorder="1"/>
    <xf numFmtId="43" fontId="69" fillId="0" borderId="0" xfId="0" applyNumberFormat="1" applyFont="1"/>
    <xf numFmtId="43" fontId="18" fillId="0" borderId="0" xfId="0" applyNumberFormat="1" applyFont="1"/>
    <xf numFmtId="193" fontId="47" fillId="14" borderId="0" xfId="0" applyNumberFormat="1" applyFont="1" applyFill="1" applyAlignment="1">
      <alignment horizontal="center"/>
    </xf>
    <xf numFmtId="185" fontId="47" fillId="5" borderId="5" xfId="2" applyNumberFormat="1" applyFont="1" applyFill="1" applyBorder="1"/>
    <xf numFmtId="185" fontId="54" fillId="0" borderId="0" xfId="0" applyNumberFormat="1" applyFont="1" applyAlignment="1">
      <alignment vertical="top" wrapText="1"/>
    </xf>
    <xf numFmtId="186" fontId="54" fillId="0" borderId="0" xfId="0" applyNumberFormat="1" applyFont="1" applyAlignment="1">
      <alignment vertical="top" wrapText="1"/>
    </xf>
    <xf numFmtId="42" fontId="57" fillId="0" borderId="1" xfId="2" applyNumberFormat="1" applyFont="1" applyBorder="1"/>
    <xf numFmtId="170" fontId="66" fillId="0" borderId="0" xfId="0" applyNumberFormat="1" applyFont="1"/>
    <xf numFmtId="186" fontId="60" fillId="0" borderId="1" xfId="2" applyNumberFormat="1" applyFont="1" applyBorder="1"/>
    <xf numFmtId="185" fontId="49" fillId="0" borderId="0" xfId="0" applyNumberFormat="1" applyFont="1"/>
    <xf numFmtId="185" fontId="23" fillId="0" borderId="0" xfId="12" applyNumberFormat="1" applyFont="1"/>
    <xf numFmtId="186" fontId="23" fillId="0" borderId="0" xfId="12" applyNumberFormat="1" applyFont="1"/>
    <xf numFmtId="186" fontId="66" fillId="0" borderId="2" xfId="0" applyNumberFormat="1" applyFont="1" applyBorder="1"/>
    <xf numFmtId="185" fontId="49" fillId="7" borderId="2" xfId="0" applyNumberFormat="1" applyFont="1" applyFill="1" applyBorder="1"/>
    <xf numFmtId="42" fontId="60" fillId="7" borderId="0" xfId="2" applyNumberFormat="1" applyFont="1" applyFill="1"/>
    <xf numFmtId="0" fontId="17" fillId="0" borderId="0" xfId="7" applyFont="1"/>
    <xf numFmtId="0" fontId="17" fillId="0" borderId="0" xfId="7" applyFont="1" applyAlignment="1">
      <alignment horizontal="left" indent="1"/>
    </xf>
    <xf numFmtId="0" fontId="17" fillId="0" borderId="0" xfId="7" applyFont="1" applyAlignment="1">
      <alignment horizontal="left"/>
    </xf>
    <xf numFmtId="0" fontId="17" fillId="0" borderId="0" xfId="0" applyFont="1"/>
    <xf numFmtId="0" fontId="56" fillId="0" borderId="0" xfId="0" applyFont="1"/>
    <xf numFmtId="0" fontId="17" fillId="0" borderId="0" xfId="11" applyFont="1"/>
    <xf numFmtId="43" fontId="54" fillId="0" borderId="0" xfId="11" applyNumberFormat="1" applyFont="1"/>
    <xf numFmtId="0" fontId="52" fillId="3" borderId="2" xfId="14" applyFont="1" applyFill="1" applyBorder="1" applyAlignment="1">
      <alignment horizontal="left"/>
    </xf>
    <xf numFmtId="0" fontId="16" fillId="0" borderId="0" xfId="14" applyFont="1"/>
    <xf numFmtId="0" fontId="49" fillId="0" borderId="0" xfId="14" applyFont="1"/>
    <xf numFmtId="0" fontId="51" fillId="0" borderId="0" xfId="14" applyFont="1" applyAlignment="1">
      <alignment horizontal="left" indent="1"/>
    </xf>
    <xf numFmtId="0" fontId="70" fillId="0" borderId="0" xfId="14" applyFont="1"/>
    <xf numFmtId="173" fontId="63" fillId="0" borderId="0" xfId="0" applyNumberFormat="1" applyFont="1"/>
    <xf numFmtId="0" fontId="51" fillId="0" borderId="0" xfId="14" applyFont="1" applyAlignment="1">
      <alignment horizontal="center"/>
    </xf>
    <xf numFmtId="172" fontId="66" fillId="0" borderId="0" xfId="2" applyNumberFormat="1" applyFont="1"/>
    <xf numFmtId="37" fontId="57" fillId="0" borderId="0" xfId="0" applyNumberFormat="1" applyFont="1"/>
    <xf numFmtId="43" fontId="57" fillId="0" borderId="0" xfId="0" applyNumberFormat="1" applyFont="1"/>
    <xf numFmtId="0" fontId="49" fillId="0" borderId="2" xfId="14" applyFont="1" applyBorder="1" applyAlignment="1">
      <alignment horizontal="center"/>
    </xf>
    <xf numFmtId="42" fontId="57" fillId="0" borderId="0" xfId="14" applyNumberFormat="1" applyFont="1"/>
    <xf numFmtId="197" fontId="57" fillId="0" borderId="0" xfId="14" applyNumberFormat="1" applyFont="1" applyAlignment="1">
      <alignment horizontal="right"/>
    </xf>
    <xf numFmtId="41" fontId="57" fillId="0" borderId="0" xfId="14" applyNumberFormat="1" applyFont="1"/>
    <xf numFmtId="0" fontId="16" fillId="0" borderId="13" xfId="14" applyFont="1" applyBorder="1"/>
    <xf numFmtId="0" fontId="16" fillId="0" borderId="15" xfId="14" applyFont="1" applyBorder="1"/>
    <xf numFmtId="0" fontId="16" fillId="0" borderId="14" xfId="14" applyFont="1" applyBorder="1"/>
    <xf numFmtId="0" fontId="49" fillId="0" borderId="0" xfId="14" applyFont="1" applyAlignment="1">
      <alignment horizontal="centerContinuous"/>
    </xf>
    <xf numFmtId="0" fontId="16" fillId="0" borderId="0" xfId="14" applyFont="1" applyAlignment="1">
      <alignment horizontal="centerContinuous"/>
    </xf>
    <xf numFmtId="42" fontId="16" fillId="0" borderId="0" xfId="14" applyNumberFormat="1" applyFont="1"/>
    <xf numFmtId="9" fontId="16" fillId="0" borderId="0" xfId="14" applyNumberFormat="1" applyFont="1"/>
    <xf numFmtId="172" fontId="57" fillId="0" borderId="0" xfId="17" applyNumberFormat="1" applyFont="1"/>
    <xf numFmtId="41" fontId="16" fillId="0" borderId="0" xfId="14" applyNumberFormat="1" applyFont="1"/>
    <xf numFmtId="0" fontId="16" fillId="0" borderId="2" xfId="14" applyFont="1" applyBorder="1" applyAlignment="1">
      <alignment horizontal="center"/>
    </xf>
    <xf numFmtId="42" fontId="57" fillId="0" borderId="0" xfId="14" applyNumberFormat="1" applyFont="1" applyAlignment="1">
      <alignment horizontal="center"/>
    </xf>
    <xf numFmtId="41" fontId="57" fillId="0" borderId="0" xfId="14" applyNumberFormat="1" applyFont="1" applyAlignment="1">
      <alignment horizontal="center"/>
    </xf>
    <xf numFmtId="174" fontId="16" fillId="0" borderId="0" xfId="14" applyNumberFormat="1" applyFont="1" applyAlignment="1">
      <alignment horizontal="center"/>
    </xf>
    <xf numFmtId="14" fontId="66" fillId="0" borderId="2" xfId="14" applyNumberFormat="1" applyFont="1" applyBorder="1"/>
    <xf numFmtId="1" fontId="66" fillId="0" borderId="2" xfId="2" applyNumberFormat="1" applyFont="1" applyBorder="1"/>
    <xf numFmtId="0" fontId="15" fillId="0" borderId="0" xfId="7" applyFont="1"/>
    <xf numFmtId="173" fontId="57" fillId="0" borderId="15" xfId="7" applyNumberFormat="1" applyFont="1" applyBorder="1"/>
    <xf numFmtId="0" fontId="66" fillId="0" borderId="2" xfId="2" applyFont="1" applyBorder="1"/>
    <xf numFmtId="0" fontId="15" fillId="0" borderId="0" xfId="14" applyFont="1"/>
    <xf numFmtId="173" fontId="57" fillId="0" borderId="0" xfId="7" applyNumberFormat="1" applyFont="1" applyAlignment="1">
      <alignment horizontal="center"/>
    </xf>
    <xf numFmtId="172" fontId="57" fillId="0" borderId="0" xfId="17" applyNumberFormat="1" applyFont="1" applyAlignment="1">
      <alignment horizontal="center"/>
    </xf>
    <xf numFmtId="43" fontId="16" fillId="0" borderId="0" xfId="14" applyNumberFormat="1" applyFont="1"/>
    <xf numFmtId="44" fontId="16" fillId="0" borderId="0" xfId="14" applyNumberFormat="1" applyFont="1"/>
    <xf numFmtId="3" fontId="15" fillId="0" borderId="0" xfId="14" applyNumberFormat="1" applyFont="1"/>
    <xf numFmtId="3" fontId="16" fillId="0" borderId="0" xfId="14" applyNumberFormat="1" applyFont="1"/>
    <xf numFmtId="174" fontId="16" fillId="0" borderId="0" xfId="14" applyNumberFormat="1" applyFont="1"/>
    <xf numFmtId="0" fontId="14" fillId="0" borderId="0" xfId="0" applyFont="1"/>
    <xf numFmtId="186" fontId="57" fillId="0" borderId="10" xfId="7" applyNumberFormat="1" applyFont="1" applyBorder="1"/>
    <xf numFmtId="0" fontId="13" fillId="0" borderId="0" xfId="7" applyFont="1" applyAlignment="1">
      <alignment horizontal="left"/>
    </xf>
    <xf numFmtId="41" fontId="54" fillId="0" borderId="0" xfId="11" applyNumberFormat="1" applyFont="1"/>
    <xf numFmtId="42" fontId="54" fillId="0" borderId="0" xfId="11" applyNumberFormat="1" applyFont="1"/>
    <xf numFmtId="186" fontId="65" fillId="0" borderId="0" xfId="0" applyNumberFormat="1" applyFont="1"/>
    <xf numFmtId="186" fontId="62" fillId="0" borderId="0" xfId="0" applyNumberFormat="1" applyFont="1"/>
    <xf numFmtId="186" fontId="54" fillId="0" borderId="0" xfId="11" applyNumberFormat="1" applyFont="1"/>
    <xf numFmtId="0" fontId="67" fillId="0" borderId="1" xfId="0" applyFont="1" applyBorder="1"/>
    <xf numFmtId="0" fontId="51" fillId="0" borderId="1" xfId="0" applyFont="1" applyBorder="1"/>
    <xf numFmtId="0" fontId="32" fillId="0" borderId="1" xfId="0" applyFont="1" applyBorder="1"/>
    <xf numFmtId="41" fontId="57" fillId="0" borderId="0" xfId="11" applyNumberFormat="1" applyFont="1"/>
    <xf numFmtId="41" fontId="60" fillId="0" borderId="0" xfId="11" applyNumberFormat="1" applyFont="1"/>
    <xf numFmtId="0" fontId="12" fillId="0" borderId="0" xfId="0" applyFont="1"/>
    <xf numFmtId="198" fontId="57" fillId="2" borderId="7" xfId="0" applyNumberFormat="1" applyFont="1" applyFill="1" applyBorder="1" applyAlignment="1">
      <alignment horizontal="center"/>
    </xf>
    <xf numFmtId="198" fontId="57" fillId="2" borderId="3" xfId="2" applyNumberFormat="1" applyFont="1" applyFill="1" applyBorder="1" applyAlignment="1">
      <alignment horizontal="center"/>
    </xf>
    <xf numFmtId="171" fontId="57" fillId="0" borderId="0" xfId="2" applyNumberFormat="1" applyFont="1" applyAlignment="1">
      <alignment horizontal="center"/>
    </xf>
    <xf numFmtId="199" fontId="54" fillId="2" borderId="7" xfId="0" applyNumberFormat="1" applyFont="1" applyFill="1" applyBorder="1" applyAlignment="1">
      <alignment horizontal="center"/>
    </xf>
    <xf numFmtId="0" fontId="67" fillId="8" borderId="0" xfId="0" applyFont="1" applyFill="1"/>
    <xf numFmtId="0" fontId="51" fillId="8" borderId="0" xfId="0" applyFont="1" applyFill="1" applyAlignment="1">
      <alignment horizontal="center"/>
    </xf>
    <xf numFmtId="0" fontId="51" fillId="8" borderId="0" xfId="0" applyFont="1" applyFill="1"/>
    <xf numFmtId="0" fontId="32" fillId="8" borderId="0" xfId="0" applyFont="1" applyFill="1"/>
    <xf numFmtId="41" fontId="49" fillId="8" borderId="0" xfId="0" applyNumberFormat="1" applyFont="1" applyFill="1"/>
    <xf numFmtId="200" fontId="18" fillId="0" borderId="0" xfId="0" applyNumberFormat="1" applyFont="1"/>
    <xf numFmtId="193" fontId="47" fillId="0" borderId="0" xfId="0" applyNumberFormat="1" applyFont="1" applyAlignment="1">
      <alignment horizontal="center"/>
    </xf>
    <xf numFmtId="0" fontId="47" fillId="9" borderId="23" xfId="0" applyFont="1" applyFill="1" applyBorder="1" applyAlignment="1">
      <alignment horizontal="centerContinuous" vertical="center" wrapText="1"/>
    </xf>
    <xf numFmtId="0" fontId="0" fillId="9" borderId="23" xfId="0" applyFill="1" applyBorder="1" applyAlignment="1">
      <alignment horizontal="centerContinuous" vertical="center"/>
    </xf>
    <xf numFmtId="0" fontId="0" fillId="9" borderId="16" xfId="0" applyFill="1" applyBorder="1" applyAlignment="1">
      <alignment horizontal="centerContinuous" vertical="center"/>
    </xf>
    <xf numFmtId="199" fontId="57" fillId="0" borderId="22" xfId="0" applyNumberFormat="1" applyFont="1" applyBorder="1" applyAlignment="1">
      <alignment horizontal="center"/>
    </xf>
    <xf numFmtId="44" fontId="69" fillId="0" borderId="0" xfId="0" applyNumberFormat="1" applyFont="1"/>
    <xf numFmtId="193" fontId="47" fillId="14" borderId="12" xfId="0" applyNumberFormat="1" applyFont="1" applyFill="1" applyBorder="1" applyAlignment="1">
      <alignment horizontal="center"/>
    </xf>
    <xf numFmtId="170" fontId="57" fillId="2" borderId="17" xfId="0" applyNumberFormat="1" applyFont="1" applyFill="1" applyBorder="1"/>
    <xf numFmtId="0" fontId="11" fillId="0" borderId="0" xfId="14" applyFont="1"/>
    <xf numFmtId="0" fontId="11" fillId="0" borderId="0" xfId="14" applyFont="1" applyAlignment="1">
      <alignment horizontal="center"/>
    </xf>
    <xf numFmtId="0" fontId="49" fillId="10" borderId="2" xfId="14" applyFont="1" applyFill="1" applyBorder="1" applyAlignment="1">
      <alignment horizontal="center"/>
    </xf>
    <xf numFmtId="0" fontId="49" fillId="10" borderId="2" xfId="14" applyFont="1" applyFill="1" applyBorder="1"/>
    <xf numFmtId="174" fontId="57" fillId="0" borderId="0" xfId="0" applyNumberFormat="1" applyFont="1" applyAlignment="1">
      <alignment horizontal="left"/>
    </xf>
    <xf numFmtId="0" fontId="10" fillId="0" borderId="0" xfId="14" applyFont="1"/>
    <xf numFmtId="0" fontId="11" fillId="2" borderId="0" xfId="14" applyFont="1" applyFill="1"/>
    <xf numFmtId="0" fontId="11" fillId="15" borderId="0" xfId="14" applyFont="1" applyFill="1"/>
    <xf numFmtId="0" fontId="11" fillId="16" borderId="0" xfId="14" applyFont="1" applyFill="1"/>
    <xf numFmtId="174" fontId="47" fillId="9" borderId="2" xfId="0" applyNumberFormat="1" applyFont="1" applyFill="1" applyBorder="1" applyAlignment="1">
      <alignment horizontal="center"/>
    </xf>
    <xf numFmtId="0" fontId="57" fillId="0" borderId="0" xfId="14" applyFont="1"/>
    <xf numFmtId="171" fontId="82" fillId="0" borderId="0" xfId="0" applyNumberFormat="1" applyFont="1"/>
    <xf numFmtId="201" fontId="66" fillId="0" borderId="0" xfId="2" applyNumberFormat="1" applyFont="1"/>
    <xf numFmtId="0" fontId="60" fillId="0" borderId="0" xfId="14" applyFont="1"/>
    <xf numFmtId="41" fontId="60" fillId="0" borderId="0" xfId="14" applyNumberFormat="1" applyFont="1"/>
    <xf numFmtId="43" fontId="57" fillId="0" borderId="0" xfId="14" applyNumberFormat="1" applyFont="1"/>
    <xf numFmtId="43" fontId="60" fillId="0" borderId="0" xfId="14" applyNumberFormat="1" applyFont="1"/>
    <xf numFmtId="0" fontId="63" fillId="0" borderId="0" xfId="0" applyFont="1"/>
    <xf numFmtId="0" fontId="57" fillId="0" borderId="0" xfId="0" applyFont="1"/>
    <xf numFmtId="187" fontId="57" fillId="0" borderId="0" xfId="0" applyNumberFormat="1" applyFont="1"/>
    <xf numFmtId="41" fontId="60" fillId="0" borderId="0" xfId="0" applyNumberFormat="1" applyFont="1"/>
    <xf numFmtId="41" fontId="57" fillId="0" borderId="2" xfId="0" applyNumberFormat="1" applyFont="1" applyBorder="1"/>
    <xf numFmtId="9" fontId="57" fillId="0" borderId="0" xfId="0" applyNumberFormat="1" applyFont="1"/>
    <xf numFmtId="169" fontId="57" fillId="0" borderId="0" xfId="0" applyNumberFormat="1" applyFont="1"/>
    <xf numFmtId="191" fontId="57" fillId="0" borderId="0" xfId="0" applyNumberFormat="1" applyFont="1"/>
    <xf numFmtId="44" fontId="57" fillId="0" borderId="0" xfId="0" applyNumberFormat="1" applyFont="1"/>
    <xf numFmtId="0" fontId="63" fillId="0" borderId="0" xfId="0" applyFont="1" applyAlignment="1">
      <alignment horizontal="center"/>
    </xf>
    <xf numFmtId="166" fontId="57" fillId="0" borderId="0" xfId="0" applyNumberFormat="1" applyFont="1"/>
    <xf numFmtId="165" fontId="57" fillId="0" borderId="0" xfId="0" applyNumberFormat="1" applyFont="1"/>
    <xf numFmtId="0" fontId="9" fillId="0" borderId="0" xfId="0" applyFont="1" applyAlignment="1">
      <alignment horizontal="left" indent="1"/>
    </xf>
    <xf numFmtId="0" fontId="49" fillId="0" borderId="1" xfId="0" applyFont="1" applyBorder="1" applyAlignment="1">
      <alignment horizontal="left" indent="1"/>
    </xf>
    <xf numFmtId="0" fontId="8" fillId="0" borderId="0" xfId="0" applyFont="1" applyAlignment="1">
      <alignment horizontal="left" indent="1"/>
    </xf>
    <xf numFmtId="0" fontId="21" fillId="0" borderId="0" xfId="0" applyFont="1" applyAlignment="1">
      <alignment horizontal="left"/>
    </xf>
    <xf numFmtId="0" fontId="47" fillId="9" borderId="2" xfId="0" applyFont="1" applyFill="1" applyBorder="1" applyAlignment="1">
      <alignment horizontal="left"/>
    </xf>
    <xf numFmtId="0" fontId="83" fillId="9" borderId="2" xfId="0" applyFont="1" applyFill="1" applyBorder="1" applyAlignment="1">
      <alignment horizontal="left"/>
    </xf>
    <xf numFmtId="0" fontId="49" fillId="10" borderId="2" xfId="0" applyFont="1" applyFill="1" applyBorder="1"/>
    <xf numFmtId="0" fontId="51" fillId="10" borderId="2" xfId="0" applyFont="1" applyFill="1" applyBorder="1"/>
    <xf numFmtId="164" fontId="60" fillId="10" borderId="2" xfId="0" applyNumberFormat="1" applyFont="1" applyFill="1" applyBorder="1" applyAlignment="1">
      <alignment horizontal="center"/>
    </xf>
    <xf numFmtId="164" fontId="60" fillId="10" borderId="5" xfId="0" applyNumberFormat="1" applyFont="1" applyFill="1" applyBorder="1" applyAlignment="1">
      <alignment horizontal="center"/>
    </xf>
    <xf numFmtId="37" fontId="54" fillId="0" borderId="0" xfId="0" applyNumberFormat="1" applyFont="1"/>
    <xf numFmtId="41" fontId="54" fillId="0" borderId="0" xfId="0" applyNumberFormat="1" applyFont="1"/>
    <xf numFmtId="169" fontId="54" fillId="2" borderId="3" xfId="0" applyNumberFormat="1" applyFont="1" applyFill="1" applyBorder="1" applyAlignment="1">
      <alignment horizontal="center"/>
    </xf>
    <xf numFmtId="192" fontId="54" fillId="0" borderId="0" xfId="0" applyNumberFormat="1" applyFont="1"/>
    <xf numFmtId="41" fontId="54" fillId="0" borderId="2" xfId="0" applyNumberFormat="1" applyFont="1" applyBorder="1"/>
    <xf numFmtId="186" fontId="54" fillId="0" borderId="2" xfId="0" applyNumberFormat="1" applyFont="1" applyBorder="1"/>
    <xf numFmtId="49" fontId="54" fillId="2" borderId="3" xfId="1" applyNumberFormat="1" applyFont="1" applyAlignment="1">
      <alignment horizontal="center"/>
    </xf>
    <xf numFmtId="3" fontId="54" fillId="2" borderId="3" xfId="1" applyNumberFormat="1" applyFont="1" applyAlignment="1">
      <alignment horizontal="center"/>
    </xf>
    <xf numFmtId="44" fontId="54" fillId="2" borderId="3" xfId="1" applyNumberFormat="1" applyFont="1" applyAlignment="1">
      <alignment horizontal="center"/>
    </xf>
    <xf numFmtId="174" fontId="54" fillId="2" borderId="3" xfId="1" applyNumberFormat="1" applyFont="1" applyAlignment="1">
      <alignment horizontal="center"/>
    </xf>
    <xf numFmtId="174" fontId="57" fillId="2" borderId="3" xfId="1" applyNumberFormat="1" applyFont="1" applyAlignment="1">
      <alignment horizontal="center"/>
    </xf>
    <xf numFmtId="190" fontId="54" fillId="2" borderId="3" xfId="1" applyNumberFormat="1" applyFont="1" applyAlignment="1">
      <alignment horizontal="center"/>
    </xf>
    <xf numFmtId="0" fontId="7" fillId="0" borderId="0" xfId="0" applyFont="1"/>
    <xf numFmtId="203" fontId="51" fillId="0" borderId="0" xfId="0" applyNumberFormat="1" applyFont="1"/>
    <xf numFmtId="0" fontId="6" fillId="0" borderId="0" xfId="0" applyFont="1"/>
    <xf numFmtId="8" fontId="57" fillId="0" borderId="0" xfId="0" applyNumberFormat="1" applyFont="1"/>
    <xf numFmtId="18" fontId="57" fillId="0" borderId="0" xfId="0" applyNumberFormat="1" applyFont="1"/>
    <xf numFmtId="0" fontId="57" fillId="0" borderId="0" xfId="0" applyFont="1" applyAlignment="1">
      <alignment horizontal="center"/>
    </xf>
    <xf numFmtId="14" fontId="57" fillId="0" borderId="0" xfId="0" applyNumberFormat="1" applyFont="1" applyAlignment="1">
      <alignment horizontal="center"/>
    </xf>
    <xf numFmtId="0" fontId="56" fillId="0" borderId="0" xfId="0" applyFont="1" applyAlignment="1">
      <alignment horizontal="center"/>
    </xf>
    <xf numFmtId="8" fontId="56" fillId="0" borderId="0" xfId="0" applyNumberFormat="1" applyFont="1"/>
    <xf numFmtId="202" fontId="56" fillId="0" borderId="0" xfId="0" applyNumberFormat="1" applyFont="1"/>
    <xf numFmtId="204" fontId="54" fillId="0" borderId="0" xfId="0" applyNumberFormat="1" applyFont="1"/>
    <xf numFmtId="204" fontId="57" fillId="0" borderId="0" xfId="0" applyNumberFormat="1" applyFont="1"/>
    <xf numFmtId="173" fontId="32" fillId="0" borderId="0" xfId="0" applyNumberFormat="1" applyFont="1" applyAlignment="1">
      <alignment horizontal="center"/>
    </xf>
    <xf numFmtId="41" fontId="32" fillId="0" borderId="0" xfId="0" applyNumberFormat="1" applyFont="1"/>
    <xf numFmtId="188" fontId="19" fillId="0" borderId="0" xfId="0" applyNumberFormat="1" applyFont="1" applyAlignment="1">
      <alignment horizontal="center"/>
    </xf>
    <xf numFmtId="204" fontId="60" fillId="0" borderId="1" xfId="0" applyNumberFormat="1" applyFont="1" applyBorder="1"/>
    <xf numFmtId="204" fontId="60" fillId="0" borderId="0" xfId="0" applyNumberFormat="1" applyFont="1"/>
    <xf numFmtId="204" fontId="49" fillId="0" borderId="0" xfId="0" applyNumberFormat="1" applyFont="1"/>
    <xf numFmtId="41" fontId="84" fillId="0" borderId="0" xfId="0" applyNumberFormat="1" applyFont="1"/>
    <xf numFmtId="0" fontId="60" fillId="10" borderId="2" xfId="0" applyFont="1" applyFill="1" applyBorder="1"/>
    <xf numFmtId="0" fontId="63" fillId="10" borderId="2" xfId="0" applyFont="1" applyFill="1" applyBorder="1"/>
    <xf numFmtId="173" fontId="82" fillId="0" borderId="0" xfId="0" applyNumberFormat="1" applyFont="1"/>
    <xf numFmtId="41" fontId="81" fillId="0" borderId="0" xfId="0" applyNumberFormat="1" applyFont="1"/>
    <xf numFmtId="39" fontId="66" fillId="0" borderId="0" xfId="14" applyNumberFormat="1" applyFont="1"/>
    <xf numFmtId="49" fontId="57" fillId="0" borderId="0" xfId="1" applyNumberFormat="1" applyFont="1" applyFill="1" applyBorder="1" applyAlignment="1">
      <alignment horizontal="center"/>
    </xf>
    <xf numFmtId="0" fontId="57" fillId="0" borderId="0" xfId="0" quotePrefix="1" applyFont="1"/>
    <xf numFmtId="0" fontId="5" fillId="0" borderId="0" xfId="0" applyFont="1"/>
    <xf numFmtId="0" fontId="4" fillId="0" borderId="0" xfId="0" applyFont="1"/>
    <xf numFmtId="0" fontId="56" fillId="0" borderId="0" xfId="0" applyFont="1" applyAlignment="1">
      <alignment horizontal="left"/>
    </xf>
    <xf numFmtId="0" fontId="3" fillId="0" borderId="0" xfId="0" applyFont="1"/>
    <xf numFmtId="165" fontId="57" fillId="2" borderId="3" xfId="0" applyNumberFormat="1" applyFont="1" applyFill="1" applyBorder="1" applyAlignment="1">
      <alignment horizontal="center"/>
    </xf>
    <xf numFmtId="0" fontId="3" fillId="0" borderId="2" xfId="0" applyFont="1" applyBorder="1"/>
    <xf numFmtId="198" fontId="3" fillId="0" borderId="0" xfId="0" applyNumberFormat="1" applyFont="1" applyAlignment="1">
      <alignment horizontal="center"/>
    </xf>
    <xf numFmtId="193" fontId="57" fillId="0" borderId="0" xfId="2" applyNumberFormat="1" applyFont="1"/>
    <xf numFmtId="193" fontId="57" fillId="0" borderId="1" xfId="2" applyNumberFormat="1" applyFont="1" applyBorder="1"/>
    <xf numFmtId="193" fontId="57" fillId="0" borderId="9" xfId="2" applyNumberFormat="1" applyFont="1" applyBorder="1"/>
    <xf numFmtId="193" fontId="57" fillId="0" borderId="11" xfId="2" applyNumberFormat="1" applyFont="1" applyBorder="1"/>
    <xf numFmtId="193" fontId="60" fillId="4" borderId="5" xfId="2" applyNumberFormat="1" applyFont="1" applyFill="1" applyBorder="1"/>
    <xf numFmtId="193" fontId="60" fillId="4" borderId="14" xfId="2" applyNumberFormat="1" applyFont="1" applyFill="1" applyBorder="1"/>
    <xf numFmtId="193" fontId="57" fillId="0" borderId="2" xfId="2" applyNumberFormat="1" applyFont="1" applyBorder="1"/>
    <xf numFmtId="193" fontId="57" fillId="0" borderId="12" xfId="2" applyNumberFormat="1" applyFont="1" applyBorder="1"/>
    <xf numFmtId="193" fontId="47" fillId="5" borderId="5" xfId="2" applyNumberFormat="1" applyFont="1" applyFill="1" applyBorder="1"/>
    <xf numFmtId="193" fontId="47" fillId="5" borderId="14" xfId="2" applyNumberFormat="1" applyFont="1" applyFill="1" applyBorder="1"/>
    <xf numFmtId="0" fontId="2" fillId="0" borderId="0" xfId="0" applyFont="1"/>
    <xf numFmtId="177" fontId="66" fillId="0" borderId="0" xfId="2" applyNumberFormat="1" applyFont="1"/>
    <xf numFmtId="185" fontId="66" fillId="0" borderId="0" xfId="2" applyNumberFormat="1" applyFont="1"/>
    <xf numFmtId="186" fontId="66" fillId="0" borderId="0" xfId="2" applyNumberFormat="1" applyFont="1"/>
    <xf numFmtId="177" fontId="66" fillId="0" borderId="0" xfId="2" quotePrefix="1" applyNumberFormat="1" applyFont="1"/>
    <xf numFmtId="183" fontId="66" fillId="0" borderId="0" xfId="2" applyNumberFormat="1" applyFont="1"/>
    <xf numFmtId="44" fontId="66" fillId="0" borderId="0" xfId="1" applyNumberFormat="1" applyFont="1" applyFill="1" applyBorder="1"/>
    <xf numFmtId="0" fontId="47" fillId="0" borderId="0" xfId="0" applyFont="1" applyAlignment="1">
      <alignment horizontal="centerContinuous"/>
    </xf>
    <xf numFmtId="0" fontId="1" fillId="0" borderId="0" xfId="0" applyFont="1"/>
    <xf numFmtId="0" fontId="1" fillId="10" borderId="2" xfId="0" applyFont="1" applyFill="1" applyBorder="1"/>
    <xf numFmtId="0" fontId="1" fillId="0" borderId="0" xfId="0" applyFont="1" applyFill="1" applyBorder="1"/>
    <xf numFmtId="0" fontId="57" fillId="0" borderId="0" xfId="0" applyFont="1" applyFill="1" applyBorder="1"/>
    <xf numFmtId="0" fontId="56" fillId="0" borderId="0" xfId="0" applyFont="1" applyFill="1" applyBorder="1"/>
    <xf numFmtId="0" fontId="69" fillId="0" borderId="0" xfId="0" applyFont="1" applyFill="1" applyBorder="1"/>
    <xf numFmtId="0" fontId="69" fillId="0" borderId="0" xfId="0" quotePrefix="1" applyFont="1" applyFill="1" applyBorder="1"/>
    <xf numFmtId="14" fontId="69" fillId="0" borderId="0" xfId="0" applyNumberFormat="1" applyFont="1" applyFill="1" applyBorder="1"/>
    <xf numFmtId="1" fontId="57" fillId="0" borderId="0" xfId="0" applyNumberFormat="1" applyFont="1" applyFill="1" applyBorder="1"/>
    <xf numFmtId="41" fontId="57" fillId="0" borderId="0" xfId="0" applyNumberFormat="1" applyFont="1" applyFill="1" applyBorder="1"/>
    <xf numFmtId="166" fontId="57" fillId="0" borderId="0" xfId="0" applyNumberFormat="1" applyFont="1" applyFill="1" applyBorder="1"/>
    <xf numFmtId="0" fontId="57" fillId="0" borderId="0" xfId="0" quotePrefix="1" applyFont="1" applyFill="1" applyBorder="1"/>
    <xf numFmtId="0" fontId="1" fillId="0" borderId="0" xfId="0" quotePrefix="1" applyFont="1" applyFill="1" applyBorder="1"/>
  </cellXfs>
  <cellStyles count="18">
    <cellStyle name="Hyperlink" xfId="10" builtinId="8"/>
    <cellStyle name="Normal" xfId="0" builtinId="0" customBuiltin="1"/>
    <cellStyle name="Normal 2" xfId="2" xr:uid="{00000000-0005-0000-0000-000002000000}"/>
    <cellStyle name="Normal 2 2 2" xfId="17" xr:uid="{00000000-0005-0000-0000-000003000000}"/>
    <cellStyle name="Normal 3" xfId="3" xr:uid="{00000000-0005-0000-0000-000004000000}"/>
    <cellStyle name="Normal 3 2" xfId="7" xr:uid="{00000000-0005-0000-0000-000005000000}"/>
    <cellStyle name="Normal 3 2 2" xfId="14" xr:uid="{00000000-0005-0000-0000-000006000000}"/>
    <cellStyle name="Normal 3 3" xfId="9" xr:uid="{00000000-0005-0000-0000-000007000000}"/>
    <cellStyle name="Normal 3 3 2" xfId="16" xr:uid="{00000000-0005-0000-0000-000008000000}"/>
    <cellStyle name="Normal 3 4" xfId="11" xr:uid="{00000000-0005-0000-0000-000009000000}"/>
    <cellStyle name="Normal 4" xfId="4" xr:uid="{00000000-0005-0000-0000-00000A000000}"/>
    <cellStyle name="Normal 4 2" xfId="8" xr:uid="{00000000-0005-0000-0000-00000B000000}"/>
    <cellStyle name="Normal 4 2 2" xfId="15" xr:uid="{00000000-0005-0000-0000-00000C000000}"/>
    <cellStyle name="Normal 4 3" xfId="13" xr:uid="{00000000-0005-0000-0000-00000D000000}"/>
    <cellStyle name="Normal 5" xfId="6" xr:uid="{00000000-0005-0000-0000-00000E000000}"/>
    <cellStyle name="Normal 5 2" xfId="12" xr:uid="{00000000-0005-0000-0000-00000F000000}"/>
    <cellStyle name="Note" xfId="1" builtinId="10" customBuiltin="1"/>
    <cellStyle name="TextNormal" xfId="5" xr:uid="{00000000-0005-0000-0000-000011000000}"/>
  </cellStyles>
  <dxfs count="0"/>
  <tableStyles count="0" defaultTableStyle="TableStyleMedium2" defaultPivotStyle="PivotStyleLight16"/>
  <colors>
    <mruColors>
      <color rgb="FFD9D9D9"/>
      <color rgb="FFB2B2B2"/>
      <color rgb="FF0000FF"/>
      <color rgb="FFFFFF99"/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3</xdr:row>
      <xdr:rowOff>38100</xdr:rowOff>
    </xdr:from>
    <xdr:to>
      <xdr:col>2</xdr:col>
      <xdr:colOff>2264681</xdr:colOff>
      <xdr:row>7</xdr:row>
      <xdr:rowOff>17234</xdr:rowOff>
    </xdr:to>
    <xdr:pic>
      <xdr:nvPicPr>
        <xdr:cNvPr id="2" name="Picture 1" descr="walmart logo color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676275"/>
          <a:ext cx="2619375" cy="768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426998</xdr:colOff>
      <xdr:row>3</xdr:row>
      <xdr:rowOff>171451</xdr:rowOff>
    </xdr:from>
    <xdr:to>
      <xdr:col>5</xdr:col>
      <xdr:colOff>512991</xdr:colOff>
      <xdr:row>7</xdr:row>
      <xdr:rowOff>190500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70298" y="809626"/>
          <a:ext cx="1792327" cy="81914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Brian DeChesare" id="{34DDCDF4-6CAA-4077-903F-9D3AAEC64CFA}" userId="be4529149f3e8391" providerId="Windows Live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51" dT="2025-08-24T16:09:09.14" personId="{34DDCDF4-6CAA-4077-903F-9D3AAEC64CFA}" id="{5ED993EC-952C-4512-8ECA-2F0A4B455D10}">
    <text>Revenue growth is missing since we lack the FY 15 data.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4.vml"/><Relationship Id="rId3" Type="http://schemas.openxmlformats.org/officeDocument/2006/relationships/hyperlink" Target="http://ir.kroger.com/" TargetMode="External"/><Relationship Id="rId7" Type="http://schemas.openxmlformats.org/officeDocument/2006/relationships/printerSettings" Target="../printerSettings/printerSettings11.bin"/><Relationship Id="rId2" Type="http://schemas.openxmlformats.org/officeDocument/2006/relationships/hyperlink" Target="https://investor.walgreensbootsalliance.com/home/default.aspx" TargetMode="External"/><Relationship Id="rId1" Type="http://schemas.openxmlformats.org/officeDocument/2006/relationships/hyperlink" Target="http://investor.costco.com/investor-overview" TargetMode="External"/><Relationship Id="rId6" Type="http://schemas.openxmlformats.org/officeDocument/2006/relationships/hyperlink" Target="https://stock.walmart.com/investors/default.aspx" TargetMode="External"/><Relationship Id="rId5" Type="http://schemas.openxmlformats.org/officeDocument/2006/relationships/hyperlink" Target="http://investors.bestbuy.com/investor-relations/" TargetMode="External"/><Relationship Id="rId4" Type="http://schemas.openxmlformats.org/officeDocument/2006/relationships/hyperlink" Target="https://investors.target.com/investors" TargetMode="External"/><Relationship Id="rId9" Type="http://schemas.openxmlformats.org/officeDocument/2006/relationships/comments" Target="../comments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F6A4E-5776-428B-88F9-5A5613AE8825}">
  <sheetPr>
    <tabColor rgb="FFB2B2B2"/>
    <pageSetUpPr autoPageBreaks="0" fitToPage="1"/>
  </sheetPr>
  <dimension ref="B2:F32"/>
  <sheetViews>
    <sheetView showGridLines="0" zoomScaleNormal="100" zoomScaleSheetLayoutView="55" workbookViewId="0">
      <selection activeCell="B2" sqref="B2"/>
    </sheetView>
  </sheetViews>
  <sheetFormatPr defaultColWidth="9.15234375" defaultRowHeight="15.9" x14ac:dyDescent="0.45"/>
  <cols>
    <col min="1" max="1" width="2.69140625" style="552" customWidth="1"/>
    <col min="2" max="2" width="6.3046875" style="552" bestFit="1" customWidth="1"/>
    <col min="3" max="3" width="53.69140625" style="552" bestFit="1" customWidth="1"/>
    <col min="4" max="13" width="12.69140625" style="552" customWidth="1"/>
    <col min="14" max="14" width="2.69140625" style="552" customWidth="1"/>
    <col min="15" max="16384" width="9.15234375" style="552"/>
  </cols>
  <sheetData>
    <row r="2" spans="2:4" ht="18.45" x14ac:dyDescent="0.5">
      <c r="B2" s="1" t="str">
        <f>Company_Name&amp;" - Operating Model and Valuation - Cover Page and Navigation"</f>
        <v>Walmart Inc. - Operating Model and Valuation - Cover Page and Navigation</v>
      </c>
    </row>
    <row r="7" spans="2:4" x14ac:dyDescent="0.45">
      <c r="C7" s="38"/>
    </row>
    <row r="10" spans="2:4" x14ac:dyDescent="0.45">
      <c r="C10" s="552" t="s">
        <v>0</v>
      </c>
      <c r="D10" s="552" t="str">
        <f>Company_Name</f>
        <v>Walmart Inc.</v>
      </c>
    </row>
    <row r="11" spans="2:4" x14ac:dyDescent="0.45">
      <c r="C11" s="552" t="s">
        <v>435</v>
      </c>
      <c r="D11" s="552" t="s">
        <v>436</v>
      </c>
    </row>
    <row r="12" spans="2:4" x14ac:dyDescent="0.45">
      <c r="C12" s="552" t="s">
        <v>437</v>
      </c>
      <c r="D12" s="552" t="s">
        <v>438</v>
      </c>
    </row>
    <row r="14" spans="2:4" x14ac:dyDescent="0.45">
      <c r="C14" s="552" t="s">
        <v>434</v>
      </c>
      <c r="D14" s="552" t="str">
        <f ca="1">MID(CELL("filename"),SEARCH("[",CELL("filename"))+1, SEARCH("]",CELL("filename"))-SEARCH("[",CELL("filename"))-1)</f>
        <v>XL-03-27-Sensitivity-Tables-After.xlsx</v>
      </c>
    </row>
    <row r="15" spans="2:4" x14ac:dyDescent="0.45">
      <c r="C15" s="552" t="s">
        <v>439</v>
      </c>
      <c r="D15" s="556">
        <f>Valuation_Date</f>
        <v>43622</v>
      </c>
    </row>
    <row r="17" spans="2:6" x14ac:dyDescent="0.45">
      <c r="C17" s="557" t="s">
        <v>451</v>
      </c>
      <c r="D17" s="560"/>
    </row>
    <row r="18" spans="2:6" x14ac:dyDescent="0.45">
      <c r="C18" s="557" t="s">
        <v>452</v>
      </c>
      <c r="D18" s="558"/>
    </row>
    <row r="19" spans="2:6" x14ac:dyDescent="0.45">
      <c r="C19" s="557" t="s">
        <v>453</v>
      </c>
      <c r="D19" s="559"/>
    </row>
    <row r="21" spans="2:6" x14ac:dyDescent="0.45">
      <c r="B21" s="554" t="s">
        <v>304</v>
      </c>
      <c r="C21" s="555" t="s">
        <v>421</v>
      </c>
      <c r="D21" s="555" t="s">
        <v>422</v>
      </c>
      <c r="E21" s="555"/>
      <c r="F21" s="555"/>
    </row>
    <row r="22" spans="2:6" x14ac:dyDescent="0.45">
      <c r="B22" s="553">
        <f ca="1">_xlfn.SHEET(INDIRECT(D22&amp;"!A1"))</f>
        <v>2</v>
      </c>
      <c r="C22" s="552" t="s">
        <v>423</v>
      </c>
      <c r="D22" s="121" t="s">
        <v>460</v>
      </c>
    </row>
    <row r="23" spans="2:6" x14ac:dyDescent="0.45">
      <c r="B23" s="553">
        <f t="shared" ref="B23:B32" ca="1" si="0">_xlfn.SHEET(INDIRECT(D23&amp;"!A1"))</f>
        <v>3</v>
      </c>
      <c r="C23" s="552" t="s">
        <v>424</v>
      </c>
      <c r="D23" s="121" t="s">
        <v>461</v>
      </c>
    </row>
    <row r="24" spans="2:6" x14ac:dyDescent="0.45">
      <c r="B24" s="553">
        <f t="shared" ca="1" si="0"/>
        <v>4</v>
      </c>
      <c r="C24" s="552" t="s">
        <v>425</v>
      </c>
      <c r="D24" s="121" t="s">
        <v>462</v>
      </c>
    </row>
    <row r="25" spans="2:6" x14ac:dyDescent="0.45">
      <c r="B25" s="553">
        <f t="shared" ca="1" si="0"/>
        <v>5</v>
      </c>
      <c r="C25" s="552" t="s">
        <v>426</v>
      </c>
      <c r="D25" s="121" t="s">
        <v>463</v>
      </c>
    </row>
    <row r="26" spans="2:6" x14ac:dyDescent="0.45">
      <c r="B26" s="553">
        <f t="shared" ca="1" si="0"/>
        <v>6</v>
      </c>
      <c r="C26" s="552" t="s">
        <v>427</v>
      </c>
      <c r="D26" s="121" t="s">
        <v>464</v>
      </c>
    </row>
    <row r="27" spans="2:6" x14ac:dyDescent="0.45">
      <c r="B27" s="553">
        <f t="shared" ca="1" si="0"/>
        <v>7</v>
      </c>
      <c r="C27" s="552" t="s">
        <v>428</v>
      </c>
      <c r="D27" s="121" t="s">
        <v>465</v>
      </c>
    </row>
    <row r="28" spans="2:6" x14ac:dyDescent="0.45">
      <c r="B28" s="553">
        <f t="shared" ca="1" si="0"/>
        <v>8</v>
      </c>
      <c r="C28" s="552" t="s">
        <v>429</v>
      </c>
      <c r="D28" s="121" t="s">
        <v>466</v>
      </c>
    </row>
    <row r="29" spans="2:6" x14ac:dyDescent="0.45">
      <c r="B29" s="553">
        <f t="shared" ca="1" si="0"/>
        <v>9</v>
      </c>
      <c r="C29" s="552" t="s">
        <v>430</v>
      </c>
      <c r="D29" s="121" t="s">
        <v>467</v>
      </c>
    </row>
    <row r="30" spans="2:6" x14ac:dyDescent="0.45">
      <c r="B30" s="553">
        <f t="shared" ca="1" si="0"/>
        <v>10</v>
      </c>
      <c r="C30" s="552" t="s">
        <v>431</v>
      </c>
      <c r="D30" s="121" t="s">
        <v>468</v>
      </c>
    </row>
    <row r="31" spans="2:6" x14ac:dyDescent="0.45">
      <c r="B31" s="553">
        <f t="shared" ca="1" si="0"/>
        <v>11</v>
      </c>
      <c r="C31" s="552" t="s">
        <v>432</v>
      </c>
      <c r="D31" s="121" t="s">
        <v>469</v>
      </c>
    </row>
    <row r="32" spans="2:6" x14ac:dyDescent="0.45">
      <c r="B32" s="553">
        <f t="shared" ca="1" si="0"/>
        <v>12</v>
      </c>
      <c r="C32" s="552" t="s">
        <v>433</v>
      </c>
      <c r="D32" s="121" t="s">
        <v>470</v>
      </c>
    </row>
  </sheetData>
  <hyperlinks>
    <hyperlink ref="D22" location="Summary!A1" display="Summary" xr:uid="{94733BC8-2164-461F-A49F-8C7FF182970C}"/>
    <hyperlink ref="D23" location="Graphs!A1" display="Graphs" xr:uid="{29E0D572-3A81-46F4-AAB2-7B0BFAEF4C0A}"/>
    <hyperlink ref="D24" location="WMT_Model!A1" display="WMT_Model" xr:uid="{99C77F7A-3450-4920-B8E9-F38A579E6410}"/>
    <hyperlink ref="D25" location="Q1_Results!A1" display="Q1_Results" xr:uid="{650D8E4B-BBD9-4795-88F8-795578765B4F}"/>
    <hyperlink ref="D26" location="DCF!A1" display="DCF" xr:uid="{662825E6-3E12-4158-A3E4-417C01DD4E6C}"/>
    <hyperlink ref="D27" location="WACC!A1" display="WACC" xr:uid="{675010C4-E18D-4F7F-8D97-E96E6C4B9607}"/>
    <hyperlink ref="D28" location="ValSum!A1" display="ValSum" xr:uid="{5816C3F3-08D7-4891-B07E-FCC1B7D48E5C}"/>
    <hyperlink ref="D29" location="ValGraph!A1" display="ValGraph" xr:uid="{4A233B1E-06F9-4ADD-A76B-D38EC273FB55}"/>
    <hyperlink ref="D30" location="Public_Comps!A1" display="Public_Comps" xr:uid="{FE61C2DA-A338-47AE-AE78-46330458EA1F}"/>
    <hyperlink ref="D31" location="Public_Comps_Data!A1" display="Public_Comps_Data" xr:uid="{FC30CC23-19AA-4598-AB4A-2E8154DB233A}"/>
    <hyperlink ref="D32" location="MA_Comps!A1" display="MA_Comps" xr:uid="{D959D88E-A2D0-41BA-AF2F-8A9400E55CE4}"/>
  </hyperlinks>
  <pageMargins left="0.7" right="0.7" top="0.75" bottom="0.75" header="0.3" footer="0.3"/>
  <pageSetup scale="96" orientation="landscape" r:id="rId1"/>
  <headerFooter>
    <oddHeader>&amp;LWal-Mart Stores, Inc. - Operating Model and Valuation</oddHeader>
  </headerFooter>
  <colBreaks count="1" manualBreakCount="1">
    <brk id="2" max="28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B2B2B2"/>
    <pageSetUpPr autoPageBreaks="0"/>
  </sheetPr>
  <dimension ref="B2:T41"/>
  <sheetViews>
    <sheetView showGridLines="0" zoomScaleNormal="100" workbookViewId="0">
      <selection activeCell="B2" sqref="B2"/>
    </sheetView>
  </sheetViews>
  <sheetFormatPr defaultColWidth="9.15234375" defaultRowHeight="15.9" outlineLevelRow="1" outlineLevelCol="1" x14ac:dyDescent="0.45"/>
  <cols>
    <col min="1" max="1" width="1.69140625" style="25" customWidth="1"/>
    <col min="2" max="2" width="40.69140625" style="25" customWidth="1"/>
    <col min="3" max="4" width="10.15234375" style="25" hidden="1" customWidth="1" outlineLevel="1"/>
    <col min="5" max="5" width="12.69140625" style="25" customWidth="1" collapsed="1"/>
    <col min="6" max="20" width="12.69140625" style="25" customWidth="1"/>
    <col min="21" max="22" width="2.69140625" style="25" customWidth="1"/>
    <col min="23" max="31" width="10.69140625" style="25" customWidth="1"/>
    <col min="32" max="16384" width="9.15234375" style="25"/>
  </cols>
  <sheetData>
    <row r="2" spans="2:20" ht="18.45" x14ac:dyDescent="0.5">
      <c r="B2" s="243" t="s">
        <v>355</v>
      </c>
      <c r="C2" s="28"/>
      <c r="D2" s="28"/>
    </row>
    <row r="3" spans="2:20" x14ac:dyDescent="0.45">
      <c r="B3" s="25" t="str">
        <f>+WMT_Model!$B$3</f>
        <v>($ in Millions Except Per Share and Per Unit Data)</v>
      </c>
      <c r="D3" s="28"/>
    </row>
    <row r="4" spans="2:20" x14ac:dyDescent="0.45">
      <c r="D4" s="28"/>
    </row>
    <row r="5" spans="2:20" hidden="1" outlineLevel="1" x14ac:dyDescent="0.45">
      <c r="B5" s="281" t="str">
        <f>Public_Comps_Data!$B$2</f>
        <v>Company Name:</v>
      </c>
      <c r="C5" s="47" t="str">
        <f>Public_Comps_Data!$B$1</f>
        <v>Ticker:</v>
      </c>
      <c r="D5" s="280" t="str">
        <f>Public_Comps_Data!$B$34</f>
        <v>Share Price:</v>
      </c>
      <c r="E5" s="280" t="str">
        <f>Public_Comps_Data!$B$59</f>
        <v>Equity Value:</v>
      </c>
      <c r="F5" s="280" t="str">
        <f>Public_Comps_Data!$B$60</f>
        <v>Enterprise Value:</v>
      </c>
      <c r="G5" s="280" t="str">
        <f>Public_Comps_Data!$B$6</f>
        <v>LTM Revenue:</v>
      </c>
      <c r="H5" s="280" t="str">
        <f>Public_Comps_Data!$B$71</f>
        <v>2020-01-31 Revenue:</v>
      </c>
      <c r="I5" s="280" t="str">
        <f>Public_Comps_Data!$B$75</f>
        <v>2021-01-31 Revenue:</v>
      </c>
      <c r="J5" s="280" t="str">
        <f>Public_Comps_Data!$B$12</f>
        <v>LTM EBITDA:</v>
      </c>
      <c r="K5" s="280" t="str">
        <f>Public_Comps_Data!$B$72</f>
        <v>2020-01-31 EBITDA:</v>
      </c>
      <c r="L5" s="280" t="str">
        <f>Public_Comps_Data!$B$76</f>
        <v>2021-01-31 EBITDA:</v>
      </c>
      <c r="M5" s="280" t="str">
        <f>Public_Comps_Data!$B$7</f>
        <v>LTM Reported Net Income:</v>
      </c>
      <c r="N5" s="280" t="str">
        <f>Public_Comps_Data!$B$73</f>
        <v>2020-01-31 Reported Net Income:</v>
      </c>
      <c r="O5" s="280" t="str">
        <f>Public_Comps_Data!$B$77</f>
        <v>2021-01-31 Reported Net Income:</v>
      </c>
      <c r="P5" s="281" t="str">
        <f>Public_Comps_Data!$B$83</f>
        <v>Year 1 Projected Revenue Growth:</v>
      </c>
      <c r="Q5" s="281" t="str">
        <f>Public_Comps_Data!$B$84</f>
        <v>Year 1 Projected EBITDA Growth:</v>
      </c>
      <c r="R5" s="281" t="str">
        <f>Public_Comps_Data!$B$86</f>
        <v>LTM EBITDA Margin:</v>
      </c>
      <c r="S5" s="281" t="str">
        <f>Public_Comps_Data!$B$87</f>
        <v>2020-01-31 EBITDA Margin:</v>
      </c>
      <c r="T5" s="281" t="str">
        <f>Public_Comps_Data!$B$88</f>
        <v>2021-01-31 EBITDA Margin:</v>
      </c>
    </row>
    <row r="6" spans="2:20" collapsed="1" x14ac:dyDescent="0.45">
      <c r="B6" s="244" t="s">
        <v>353</v>
      </c>
      <c r="C6" s="48"/>
      <c r="D6" s="48"/>
      <c r="E6" s="87" t="s">
        <v>24</v>
      </c>
      <c r="F6" s="88"/>
      <c r="G6" s="89"/>
      <c r="H6" s="89"/>
      <c r="I6" s="89"/>
      <c r="J6" s="89"/>
      <c r="K6" s="89"/>
      <c r="L6" s="89"/>
      <c r="M6" s="89"/>
      <c r="N6" s="89"/>
      <c r="O6" s="89"/>
      <c r="P6" s="49" t="s">
        <v>3</v>
      </c>
      <c r="Q6" s="49" t="s">
        <v>3</v>
      </c>
      <c r="R6" s="87"/>
      <c r="S6" s="90"/>
      <c r="T6" s="90"/>
    </row>
    <row r="7" spans="2:20" x14ac:dyDescent="0.45">
      <c r="B7" s="89"/>
      <c r="C7" s="89"/>
      <c r="D7" s="49" t="s">
        <v>25</v>
      </c>
      <c r="E7" s="49" t="s">
        <v>26</v>
      </c>
      <c r="F7" s="49" t="s">
        <v>27</v>
      </c>
      <c r="G7" s="87" t="s">
        <v>28</v>
      </c>
      <c r="H7" s="87"/>
      <c r="I7" s="87"/>
      <c r="J7" s="87" t="s">
        <v>29</v>
      </c>
      <c r="K7" s="87"/>
      <c r="L7" s="87"/>
      <c r="M7" s="87" t="s">
        <v>30</v>
      </c>
      <c r="N7" s="87"/>
      <c r="O7" s="87"/>
      <c r="P7" s="49" t="s">
        <v>28</v>
      </c>
      <c r="Q7" s="49" t="s">
        <v>29</v>
      </c>
      <c r="R7" s="87" t="s">
        <v>31</v>
      </c>
      <c r="S7" s="87"/>
      <c r="T7" s="87"/>
    </row>
    <row r="8" spans="2:20" x14ac:dyDescent="0.45">
      <c r="B8" s="50" t="s">
        <v>21</v>
      </c>
      <c r="C8" s="50" t="s">
        <v>32</v>
      </c>
      <c r="D8" s="51" t="s">
        <v>33</v>
      </c>
      <c r="E8" s="51" t="s">
        <v>34</v>
      </c>
      <c r="F8" s="51" t="s">
        <v>34</v>
      </c>
      <c r="G8" s="51" t="s">
        <v>20</v>
      </c>
      <c r="H8" s="561">
        <f>Forward_Year_1</f>
        <v>43861</v>
      </c>
      <c r="I8" s="561">
        <f>Forward_Year_2</f>
        <v>44227</v>
      </c>
      <c r="J8" s="91" t="str">
        <f>$G$8</f>
        <v>LTM</v>
      </c>
      <c r="K8" s="561">
        <f>Forward_Year_1</f>
        <v>43861</v>
      </c>
      <c r="L8" s="561">
        <f>Forward_Year_2</f>
        <v>44227</v>
      </c>
      <c r="M8" s="91" t="str">
        <f>$G$8</f>
        <v>LTM</v>
      </c>
      <c r="N8" s="561">
        <f>Forward_Year_1</f>
        <v>43861</v>
      </c>
      <c r="O8" s="561">
        <f>Forward_Year_2</f>
        <v>44227</v>
      </c>
      <c r="P8" s="51" t="s">
        <v>35</v>
      </c>
      <c r="Q8" s="51" t="s">
        <v>35</v>
      </c>
      <c r="R8" s="91" t="str">
        <f>$G$8</f>
        <v>LTM</v>
      </c>
      <c r="S8" s="561">
        <f>Forward_Year_1</f>
        <v>43861</v>
      </c>
      <c r="T8" s="561">
        <f>Forward_Year_2</f>
        <v>44227</v>
      </c>
    </row>
    <row r="9" spans="2:20" x14ac:dyDescent="0.45">
      <c r="B9" s="25" t="str">
        <f>INDEX(Pub_Comps_Range,MATCH(Public_Comps!B$5,Pub_Comps_Params,0),MATCH(Public_Comps!$C9,Pub_Comps_Tickers,0))</f>
        <v xml:space="preserve">Costco Wholesale Corporation </v>
      </c>
      <c r="C9" s="25" t="s">
        <v>331</v>
      </c>
      <c r="D9" s="92">
        <f>INDEX(Pub_Comps_Range,MATCH(Public_Comps!D$5,Pub_Comps_Params,0),MATCH(Public_Comps!$C9,Pub_Comps_Tickers,0))</f>
        <v>251.21</v>
      </c>
      <c r="E9" s="427">
        <f>INDEX(Pub_Comps_Range,MATCH(Public_Comps!E$5,Pub_Comps_Params,0),MATCH(Public_Comps!$C9,Pub_Comps_Tickers,0))</f>
        <v>112121.09876506</v>
      </c>
      <c r="F9" s="427">
        <f>INDEX(Pub_Comps_Range,MATCH(Public_Comps!F$5,Pub_Comps_Params,0),MATCH(Public_Comps!$C9,Pub_Comps_Tickers,0))</f>
        <v>110817.09876506</v>
      </c>
      <c r="G9" s="427">
        <f>INDEX(Pub_Comps_Range,MATCH(Public_Comps!G$5,Pub_Comps_Params,0),MATCH(Public_Comps!$C9,Pub_Comps_Tickers,0))</f>
        <v>149616</v>
      </c>
      <c r="H9" s="427">
        <f>INDEX(Pub_Comps_Range,MATCH(Public_Comps!H$5,Pub_Comps_Params,0),MATCH(Public_Comps!$C9,Pub_Comps_Tickers,0))</f>
        <v>156372.59</v>
      </c>
      <c r="I9" s="427">
        <f>INDEX(Pub_Comps_Range,MATCH(Public_Comps!I$5,Pub_Comps_Params,0),MATCH(Public_Comps!$C9,Pub_Comps_Tickers,0))</f>
        <v>167371.00666666665</v>
      </c>
      <c r="J9" s="427">
        <f>INDEX(Pub_Comps_Range,MATCH(Public_Comps!J$5,Pub_Comps_Params,0),MATCH(Public_Comps!$C9,Pub_Comps_Tickers,0))</f>
        <v>6170</v>
      </c>
      <c r="K9" s="427">
        <f>INDEX(Pub_Comps_Range,MATCH(Public_Comps!K$5,Pub_Comps_Params,0),MATCH(Public_Comps!$C9,Pub_Comps_Tickers,0))</f>
        <v>6555.3666666666659</v>
      </c>
      <c r="L9" s="427">
        <f>INDEX(Pub_Comps_Range,MATCH(Public_Comps!L$5,Pub_Comps_Params,0),MATCH(Public_Comps!$C9,Pub_Comps_Tickers,0))</f>
        <v>7064.3033333333333</v>
      </c>
      <c r="M9" s="427">
        <f>INDEX(Pub_Comps_Range,MATCH(Public_Comps!M$5,Pub_Comps_Params,0),MATCH(Public_Comps!$C9,Pub_Comps_Tickers,0))</f>
        <v>3605</v>
      </c>
      <c r="N9" s="427">
        <f>INDEX(Pub_Comps_Range,MATCH(Public_Comps!N$5,Pub_Comps_Params,0),MATCH(Public_Comps!$C9,Pub_Comps_Tickers,0))</f>
        <v>3628.8466666666664</v>
      </c>
      <c r="O9" s="427">
        <f>INDEX(Pub_Comps_Range,MATCH(Public_Comps!O$5,Pub_Comps_Params,0),MATCH(Public_Comps!$C9,Pub_Comps_Tickers,0))</f>
        <v>3822.1533333333332</v>
      </c>
      <c r="P9" s="93">
        <f>INDEX(Pub_Comps_Range,MATCH(Public_Comps!P$5,Pub_Comps_Params,0),MATCH(Public_Comps!$C9,Pub_Comps_Tickers,0))</f>
        <v>7.0334683761819505E-2</v>
      </c>
      <c r="Q9" s="93">
        <f>INDEX(Pub_Comps_Range,MATCH(Public_Comps!Q$5,Pub_Comps_Params,0),MATCH(Public_Comps!$C9,Pub_Comps_Tickers,0))</f>
        <v>7.7636643767701852E-2</v>
      </c>
      <c r="R9" s="93">
        <f>INDEX(Pub_Comps_Range,MATCH(Public_Comps!R$5,Pub_Comps_Params,0),MATCH(Public_Comps!$C9,Pub_Comps_Tickers,0))</f>
        <v>4.1238904929954016E-2</v>
      </c>
      <c r="S9" s="93">
        <f>INDEX(Pub_Comps_Range,MATCH(Public_Comps!S$5,Pub_Comps_Params,0),MATCH(Public_Comps!$C9,Pub_Comps_Tickers,0))</f>
        <v>4.1921456098326863E-2</v>
      </c>
      <c r="T9" s="93">
        <f>INDEX(Pub_Comps_Range,MATCH(Public_Comps!T$5,Pub_Comps_Params,0),MATCH(Public_Comps!$C9,Pub_Comps_Tickers,0))</f>
        <v>4.2207449629567469E-2</v>
      </c>
    </row>
    <row r="10" spans="2:20" x14ac:dyDescent="0.45">
      <c r="B10" s="25" t="str">
        <f>INDEX(Pub_Comps_Range,MATCH(Public_Comps!B$5,Pub_Comps_Params,0),MATCH(Public_Comps!$C10,Pub_Comps_Tickers,0))</f>
        <v xml:space="preserve">Walgreens Boots Alliance, Inc. </v>
      </c>
      <c r="C10" s="25" t="s">
        <v>335</v>
      </c>
      <c r="D10" s="73">
        <f>INDEX(Pub_Comps_Range,MATCH(Public_Comps!D$5,Pub_Comps_Params,0),MATCH(Public_Comps!$C10,Pub_Comps_Tickers,0))</f>
        <v>50.98</v>
      </c>
      <c r="E10" s="402">
        <f>INDEX(Pub_Comps_Range,MATCH(Public_Comps!E$5,Pub_Comps_Params,0),MATCH(Public_Comps!$C10,Pub_Comps_Tickers,0))</f>
        <v>46610.96189844</v>
      </c>
      <c r="F10" s="402">
        <f>INDEX(Pub_Comps_Range,MATCH(Public_Comps!F$5,Pub_Comps_Params,0),MATCH(Public_Comps!$C10,Pub_Comps_Tickers,0))</f>
        <v>57793.96189844</v>
      </c>
      <c r="G10" s="402">
        <f>INDEX(Pub_Comps_Range,MATCH(Public_Comps!G$5,Pub_Comps_Params,0),MATCH(Public_Comps!$C10,Pub_Comps_Tickers,0))</f>
        <v>136097</v>
      </c>
      <c r="H10" s="402">
        <f>INDEX(Pub_Comps_Range,MATCH(Public_Comps!H$5,Pub_Comps_Params,0),MATCH(Public_Comps!$C10,Pub_Comps_Tickers,0))</f>
        <v>137844.94333333333</v>
      </c>
      <c r="I10" s="402">
        <f>INDEX(Pub_Comps_Range,MATCH(Public_Comps!I$5,Pub_Comps_Params,0),MATCH(Public_Comps!$C10,Pub_Comps_Tickers,0))</f>
        <v>141369.60999999999</v>
      </c>
      <c r="J10" s="402">
        <f>INDEX(Pub_Comps_Range,MATCH(Public_Comps!J$5,Pub_Comps_Params,0),MATCH(Public_Comps!$C10,Pub_Comps_Tickers,0))</f>
        <v>8160</v>
      </c>
      <c r="K10" s="402">
        <f>INDEX(Pub_Comps_Range,MATCH(Public_Comps!K$5,Pub_Comps_Params,0),MATCH(Public_Comps!$C10,Pub_Comps_Tickers,0))</f>
        <v>8616.9933333333338</v>
      </c>
      <c r="L10" s="402">
        <f>INDEX(Pub_Comps_Range,MATCH(Public_Comps!L$5,Pub_Comps_Params,0),MATCH(Public_Comps!$C10,Pub_Comps_Tickers,0))</f>
        <v>8633.996666666666</v>
      </c>
      <c r="M10" s="402">
        <f>INDEX(Pub_Comps_Range,MATCH(Public_Comps!M$5,Pub_Comps_Params,0),MATCH(Public_Comps!$C10,Pub_Comps_Tickers,0))</f>
        <v>5133</v>
      </c>
      <c r="N10" s="402">
        <f>INDEX(Pub_Comps_Range,MATCH(Public_Comps!N$5,Pub_Comps_Params,0),MATCH(Public_Comps!$C10,Pub_Comps_Tickers,0))</f>
        <v>5424.2433333333338</v>
      </c>
      <c r="O10" s="402">
        <f>INDEX(Pub_Comps_Range,MATCH(Public_Comps!O$5,Pub_Comps_Params,0),MATCH(Public_Comps!$C10,Pub_Comps_Tickers,0))</f>
        <v>5324.6966666666667</v>
      </c>
      <c r="P10" s="93">
        <f>INDEX(Pub_Comps_Range,MATCH(Public_Comps!P$5,Pub_Comps_Params,0),MATCH(Public_Comps!$C10,Pub_Comps_Tickers,0))</f>
        <v>2.5569792996638308E-2</v>
      </c>
      <c r="Q10" s="93">
        <f>INDEX(Pub_Comps_Range,MATCH(Public_Comps!Q$5,Pub_Comps_Params,0),MATCH(Public_Comps!$C10,Pub_Comps_Tickers,0))</f>
        <v>1.9732327362442792E-3</v>
      </c>
      <c r="R10" s="93">
        <f>INDEX(Pub_Comps_Range,MATCH(Public_Comps!R$5,Pub_Comps_Params,0),MATCH(Public_Comps!$C10,Pub_Comps_Tickers,0))</f>
        <v>5.995723638287398E-2</v>
      </c>
      <c r="S10" s="93">
        <f>INDEX(Pub_Comps_Range,MATCH(Public_Comps!S$5,Pub_Comps_Params,0),MATCH(Public_Comps!$C10,Pub_Comps_Tickers,0))</f>
        <v>6.2512219345586928E-2</v>
      </c>
      <c r="T10" s="93">
        <f>INDEX(Pub_Comps_Range,MATCH(Public_Comps!T$5,Pub_Comps_Params,0),MATCH(Public_Comps!$C10,Pub_Comps_Tickers,0))</f>
        <v>6.1073922936242572E-2</v>
      </c>
    </row>
    <row r="11" spans="2:20" x14ac:dyDescent="0.45">
      <c r="B11" s="25" t="str">
        <f>INDEX(Pub_Comps_Range,MATCH(Public_Comps!B$5,Pub_Comps_Params,0),MATCH(Public_Comps!$C11,Pub_Comps_Tickers,0))</f>
        <v>The Kroger Co.</v>
      </c>
      <c r="C11" s="25" t="s">
        <v>333</v>
      </c>
      <c r="D11" s="73">
        <f>INDEX(Pub_Comps_Range,MATCH(Public_Comps!D$5,Pub_Comps_Params,0),MATCH(Public_Comps!$C11,Pub_Comps_Tickers,0))</f>
        <v>23.7</v>
      </c>
      <c r="E11" s="402">
        <f>INDEX(Pub_Comps_Range,MATCH(Public_Comps!E$5,Pub_Comps_Params,0),MATCH(Public_Comps!$C11,Pub_Comps_Tickers,0))</f>
        <v>18985.194883299999</v>
      </c>
      <c r="F11" s="402">
        <f>INDEX(Pub_Comps_Range,MATCH(Public_Comps!F$5,Pub_Comps_Params,0),MATCH(Public_Comps!$C11,Pub_Comps_Tickers,0))</f>
        <v>31665.519844053531</v>
      </c>
      <c r="G11" s="402">
        <f>INDEX(Pub_Comps_Range,MATCH(Public_Comps!G$5,Pub_Comps_Params,0),MATCH(Public_Comps!$C11,Pub_Comps_Tickers,0))</f>
        <v>120691</v>
      </c>
      <c r="H11" s="402">
        <f>INDEX(Pub_Comps_Range,MATCH(Public_Comps!H$5,Pub_Comps_Params,0),MATCH(Public_Comps!$C11,Pub_Comps_Tickers,0))</f>
        <v>122995.29</v>
      </c>
      <c r="I11" s="402">
        <f>INDEX(Pub_Comps_Range,MATCH(Public_Comps!I$5,Pub_Comps_Params,0),MATCH(Public_Comps!$C11,Pub_Comps_Tickers,0))</f>
        <v>126162.86</v>
      </c>
      <c r="J11" s="402">
        <f>INDEX(Pub_Comps_Range,MATCH(Public_Comps!J$5,Pub_Comps_Params,0),MATCH(Public_Comps!$C11,Pub_Comps_Tickers,0))</f>
        <v>4989</v>
      </c>
      <c r="K11" s="402">
        <f>INDEX(Pub_Comps_Range,MATCH(Public_Comps!K$5,Pub_Comps_Params,0),MATCH(Public_Comps!$C11,Pub_Comps_Tickers,0))</f>
        <v>5401.22</v>
      </c>
      <c r="L11" s="402">
        <f>INDEX(Pub_Comps_Range,MATCH(Public_Comps!L$5,Pub_Comps_Params,0),MATCH(Public_Comps!$C11,Pub_Comps_Tickers,0))</f>
        <v>5531.75</v>
      </c>
      <c r="M11" s="402">
        <f>INDEX(Pub_Comps_Range,MATCH(Public_Comps!M$5,Pub_Comps_Params,0),MATCH(Public_Comps!$C11,Pub_Comps_Tickers,0))</f>
        <v>1856</v>
      </c>
      <c r="N11" s="402">
        <f>INDEX(Pub_Comps_Range,MATCH(Public_Comps!N$5,Pub_Comps_Params,0),MATCH(Public_Comps!$C11,Pub_Comps_Tickers,0))</f>
        <v>1747.69</v>
      </c>
      <c r="O11" s="402">
        <f>INDEX(Pub_Comps_Range,MATCH(Public_Comps!O$5,Pub_Comps_Params,0),MATCH(Public_Comps!$C11,Pub_Comps_Tickers,0))</f>
        <v>1825.89</v>
      </c>
      <c r="P11" s="93">
        <f>INDEX(Pub_Comps_Range,MATCH(Public_Comps!P$5,Pub_Comps_Params,0),MATCH(Public_Comps!$C11,Pub_Comps_Tickers,0))</f>
        <v>2.5753587799988154E-2</v>
      </c>
      <c r="Q11" s="93">
        <f>INDEX(Pub_Comps_Range,MATCH(Public_Comps!Q$5,Pub_Comps_Params,0),MATCH(Public_Comps!$C11,Pub_Comps_Tickers,0))</f>
        <v>2.4166762324067559E-2</v>
      </c>
      <c r="R11" s="93">
        <f>INDEX(Pub_Comps_Range,MATCH(Public_Comps!R$5,Pub_Comps_Params,0),MATCH(Public_Comps!$C11,Pub_Comps_Tickers,0))</f>
        <v>4.1336967959499878E-2</v>
      </c>
      <c r="S11" s="93">
        <f>INDEX(Pub_Comps_Range,MATCH(Public_Comps!S$5,Pub_Comps_Params,0),MATCH(Public_Comps!$C11,Pub_Comps_Tickers,0))</f>
        <v>4.3914039309960573E-2</v>
      </c>
      <c r="T11" s="93">
        <f>INDEX(Pub_Comps_Range,MATCH(Public_Comps!T$5,Pub_Comps_Params,0),MATCH(Public_Comps!$C11,Pub_Comps_Tickers,0))</f>
        <v>4.3846104947208711E-2</v>
      </c>
    </row>
    <row r="12" spans="2:20" x14ac:dyDescent="0.45">
      <c r="B12" s="25" t="str">
        <f>INDEX(Pub_Comps_Range,MATCH(Public_Comps!B$5,Pub_Comps_Params,0),MATCH(Public_Comps!$C12,Pub_Comps_Tickers,0))</f>
        <v>Target Corporation</v>
      </c>
      <c r="C12" s="25" t="s">
        <v>337</v>
      </c>
      <c r="D12" s="73">
        <f>INDEX(Pub_Comps_Range,MATCH(Public_Comps!D$5,Pub_Comps_Params,0),MATCH(Public_Comps!$C12,Pub_Comps_Tickers,0))</f>
        <v>85.7</v>
      </c>
      <c r="E12" s="402">
        <f>INDEX(Pub_Comps_Range,MATCH(Public_Comps!E$5,Pub_Comps_Params,0),MATCH(Public_Comps!$C12,Pub_Comps_Tickers,0))</f>
        <v>44606.323673200008</v>
      </c>
      <c r="F12" s="402">
        <f>INDEX(Pub_Comps_Range,MATCH(Public_Comps!F$5,Pub_Comps_Params,0),MATCH(Public_Comps!$C12,Pub_Comps_Tickers,0))</f>
        <v>55879.323673200008</v>
      </c>
      <c r="G12" s="402">
        <f>INDEX(Pub_Comps_Range,MATCH(Public_Comps!G$5,Pub_Comps_Params,0),MATCH(Public_Comps!$C12,Pub_Comps_Tickers,0))</f>
        <v>76202</v>
      </c>
      <c r="H12" s="402">
        <f>INDEX(Pub_Comps_Range,MATCH(Public_Comps!H$5,Pub_Comps_Params,0),MATCH(Public_Comps!$C12,Pub_Comps_Tickers,0))</f>
        <v>78103.89</v>
      </c>
      <c r="I12" s="402">
        <f>INDEX(Pub_Comps_Range,MATCH(Public_Comps!I$5,Pub_Comps_Params,0),MATCH(Public_Comps!$C12,Pub_Comps_Tickers,0))</f>
        <v>80472.08</v>
      </c>
      <c r="J12" s="402">
        <f>INDEX(Pub_Comps_Range,MATCH(Public_Comps!J$5,Pub_Comps_Params,0),MATCH(Public_Comps!$C12,Pub_Comps_Tickers,0))</f>
        <v>6691</v>
      </c>
      <c r="K12" s="402">
        <f>INDEX(Pub_Comps_Range,MATCH(Public_Comps!K$5,Pub_Comps_Params,0),MATCH(Public_Comps!$C12,Pub_Comps_Tickers,0))</f>
        <v>6707.27</v>
      </c>
      <c r="L12" s="402">
        <f>INDEX(Pub_Comps_Range,MATCH(Public_Comps!L$5,Pub_Comps_Params,0),MATCH(Public_Comps!$C12,Pub_Comps_Tickers,0))</f>
        <v>6910.57</v>
      </c>
      <c r="M12" s="402">
        <f>INDEX(Pub_Comps_Range,MATCH(Public_Comps!M$5,Pub_Comps_Params,0),MATCH(Public_Comps!$C12,Pub_Comps_Tickers,0))</f>
        <v>3014</v>
      </c>
      <c r="N12" s="402">
        <f>INDEX(Pub_Comps_Range,MATCH(Public_Comps!N$5,Pub_Comps_Params,0),MATCH(Public_Comps!$C12,Pub_Comps_Tickers,0))</f>
        <v>3041</v>
      </c>
      <c r="O12" s="402">
        <f>INDEX(Pub_Comps_Range,MATCH(Public_Comps!O$5,Pub_Comps_Params,0),MATCH(Public_Comps!$C12,Pub_Comps_Tickers,0))</f>
        <v>3153.96</v>
      </c>
      <c r="P12" s="93">
        <f>INDEX(Pub_Comps_Range,MATCH(Public_Comps!P$5,Pub_Comps_Params,0),MATCH(Public_Comps!$C12,Pub_Comps_Tickers,0))</f>
        <v>3.0321024983518852E-2</v>
      </c>
      <c r="Q12" s="93">
        <f>INDEX(Pub_Comps_Range,MATCH(Public_Comps!Q$5,Pub_Comps_Params,0),MATCH(Public_Comps!$C12,Pub_Comps_Tickers,0))</f>
        <v>3.0310394542041541E-2</v>
      </c>
      <c r="R12" s="93">
        <f>INDEX(Pub_Comps_Range,MATCH(Public_Comps!R$5,Pub_Comps_Params,0),MATCH(Public_Comps!$C12,Pub_Comps_Tickers,0))</f>
        <v>8.7806094328232859E-2</v>
      </c>
      <c r="S12" s="93">
        <f>INDEX(Pub_Comps_Range,MATCH(Public_Comps!S$5,Pub_Comps_Params,0),MATCH(Public_Comps!$C12,Pub_Comps_Tickers,0))</f>
        <v>8.5876260452584383E-2</v>
      </c>
      <c r="T12" s="93">
        <f>INDEX(Pub_Comps_Range,MATCH(Public_Comps!T$5,Pub_Comps_Params,0),MATCH(Public_Comps!$C12,Pub_Comps_Tickers,0))</f>
        <v>8.5875374415573691E-2</v>
      </c>
    </row>
    <row r="13" spans="2:20" x14ac:dyDescent="0.45">
      <c r="B13" s="25" t="str">
        <f>INDEX(Pub_Comps_Range,MATCH(Public_Comps!B$5,Pub_Comps_Params,0),MATCH(Public_Comps!$C13,Pub_Comps_Tickers,0))</f>
        <v>Best Buy Co., Inc.</v>
      </c>
      <c r="C13" s="25" t="s">
        <v>338</v>
      </c>
      <c r="D13" s="73">
        <f>INDEX(Pub_Comps_Range,MATCH(Public_Comps!D$5,Pub_Comps_Params,0),MATCH(Public_Comps!$C13,Pub_Comps_Tickers,0))</f>
        <v>62.3</v>
      </c>
      <c r="E13" s="402">
        <f>INDEX(Pub_Comps_Range,MATCH(Public_Comps!E$5,Pub_Comps_Params,0),MATCH(Public_Comps!$C13,Pub_Comps_Tickers,0))</f>
        <v>17081.4394866</v>
      </c>
      <c r="F13" s="402">
        <f>INDEX(Pub_Comps_Range,MATCH(Public_Comps!F$5,Pub_Comps_Params,0),MATCH(Public_Comps!$C13,Pub_Comps_Tickers,0))</f>
        <v>16808.542111898329</v>
      </c>
      <c r="G13" s="402">
        <f>INDEX(Pub_Comps_Range,MATCH(Public_Comps!G$5,Pub_Comps_Params,0),MATCH(Public_Comps!$C13,Pub_Comps_Tickers,0))</f>
        <v>42912</v>
      </c>
      <c r="H13" s="402">
        <f>INDEX(Pub_Comps_Range,MATCH(Public_Comps!H$5,Pub_Comps_Params,0),MATCH(Public_Comps!$C13,Pub_Comps_Tickers,0))</f>
        <v>43593.08</v>
      </c>
      <c r="I13" s="402">
        <f>INDEX(Pub_Comps_Range,MATCH(Public_Comps!I$5,Pub_Comps_Params,0),MATCH(Public_Comps!$C13,Pub_Comps_Tickers,0))</f>
        <v>44218.03</v>
      </c>
      <c r="J13" s="402">
        <f>INDEX(Pub_Comps_Range,MATCH(Public_Comps!J$5,Pub_Comps_Params,0),MATCH(Public_Comps!$C13,Pub_Comps_Tickers,0))</f>
        <v>2763</v>
      </c>
      <c r="K13" s="402">
        <f>INDEX(Pub_Comps_Range,MATCH(Public_Comps!K$5,Pub_Comps_Params,0),MATCH(Public_Comps!$C13,Pub_Comps_Tickers,0))</f>
        <v>2816.29</v>
      </c>
      <c r="L13" s="402">
        <f>INDEX(Pub_Comps_Range,MATCH(Public_Comps!L$5,Pub_Comps_Params,0),MATCH(Public_Comps!$C13,Pub_Comps_Tickers,0))</f>
        <v>2881.21</v>
      </c>
      <c r="M13" s="402">
        <f>INDEX(Pub_Comps_Range,MATCH(Public_Comps!M$5,Pub_Comps_Params,0),MATCH(Public_Comps!$C13,Pub_Comps_Tickers,0))</f>
        <v>1521</v>
      </c>
      <c r="N13" s="402">
        <f>INDEX(Pub_Comps_Range,MATCH(Public_Comps!N$5,Pub_Comps_Params,0),MATCH(Public_Comps!$C13,Pub_Comps_Tickers,0))</f>
        <v>1517.28</v>
      </c>
      <c r="O13" s="402">
        <f>INDEX(Pub_Comps_Range,MATCH(Public_Comps!O$5,Pub_Comps_Params,0),MATCH(Public_Comps!$C13,Pub_Comps_Tickers,0))</f>
        <v>1536.64</v>
      </c>
      <c r="P13" s="93">
        <f>INDEX(Pub_Comps_Range,MATCH(Public_Comps!P$5,Pub_Comps_Params,0),MATCH(Public_Comps!$C13,Pub_Comps_Tickers,0))</f>
        <v>1.4335990941681587E-2</v>
      </c>
      <c r="Q13" s="93">
        <f>INDEX(Pub_Comps_Range,MATCH(Public_Comps!Q$5,Pub_Comps_Params,0),MATCH(Public_Comps!$C13,Pub_Comps_Tickers,0))</f>
        <v>2.3051603350507266E-2</v>
      </c>
      <c r="R13" s="93">
        <f>INDEX(Pub_Comps_Range,MATCH(Public_Comps!R$5,Pub_Comps_Params,0),MATCH(Public_Comps!$C13,Pub_Comps_Tickers,0))</f>
        <v>6.438758389261745E-2</v>
      </c>
      <c r="S13" s="93">
        <f>INDEX(Pub_Comps_Range,MATCH(Public_Comps!S$5,Pub_Comps_Params,0),MATCH(Public_Comps!$C13,Pub_Comps_Tickers,0))</f>
        <v>6.4604061011518332E-2</v>
      </c>
      <c r="T13" s="93">
        <f>INDEX(Pub_Comps_Range,MATCH(Public_Comps!T$5,Pub_Comps_Params,0),MATCH(Public_Comps!$C13,Pub_Comps_Tickers,0))</f>
        <v>6.5159166973291216E-2</v>
      </c>
    </row>
    <row r="15" spans="2:20" x14ac:dyDescent="0.45">
      <c r="B15" s="94" t="s">
        <v>36</v>
      </c>
      <c r="C15" s="30"/>
      <c r="D15" s="95">
        <f>MAX(D9:D13)</f>
        <v>251.21</v>
      </c>
      <c r="E15" s="433">
        <f t="shared" ref="E15:T15" si="0">MAX(E9:E13)</f>
        <v>112121.09876506</v>
      </c>
      <c r="F15" s="433">
        <f t="shared" si="0"/>
        <v>110817.09876506</v>
      </c>
      <c r="G15" s="433">
        <f t="shared" si="0"/>
        <v>149616</v>
      </c>
      <c r="H15" s="433">
        <f t="shared" si="0"/>
        <v>156372.59</v>
      </c>
      <c r="I15" s="433">
        <f t="shared" si="0"/>
        <v>167371.00666666665</v>
      </c>
      <c r="J15" s="433">
        <f t="shared" si="0"/>
        <v>8160</v>
      </c>
      <c r="K15" s="433">
        <f t="shared" si="0"/>
        <v>8616.9933333333338</v>
      </c>
      <c r="L15" s="433">
        <f t="shared" si="0"/>
        <v>8633.996666666666</v>
      </c>
      <c r="M15" s="433">
        <f t="shared" si="0"/>
        <v>5133</v>
      </c>
      <c r="N15" s="433">
        <f t="shared" si="0"/>
        <v>5424.2433333333338</v>
      </c>
      <c r="O15" s="433">
        <f t="shared" si="0"/>
        <v>5324.6966666666667</v>
      </c>
      <c r="P15" s="96">
        <f t="shared" si="0"/>
        <v>7.0334683761819505E-2</v>
      </c>
      <c r="Q15" s="96">
        <f t="shared" si="0"/>
        <v>7.7636643767701852E-2</v>
      </c>
      <c r="R15" s="96">
        <f t="shared" si="0"/>
        <v>8.7806094328232859E-2</v>
      </c>
      <c r="S15" s="96">
        <f t="shared" si="0"/>
        <v>8.5876260452584383E-2</v>
      </c>
      <c r="T15" s="97">
        <f t="shared" si="0"/>
        <v>8.5875374415573691E-2</v>
      </c>
    </row>
    <row r="16" spans="2:20" x14ac:dyDescent="0.45">
      <c r="B16" s="98" t="s">
        <v>37</v>
      </c>
      <c r="D16" s="73">
        <f>QUARTILE(D9:D13,3)</f>
        <v>85.7</v>
      </c>
      <c r="E16" s="402">
        <f t="shared" ref="E16:T16" si="1">QUARTILE(E9:E13,3)</f>
        <v>46610.96189844</v>
      </c>
      <c r="F16" s="402">
        <f t="shared" si="1"/>
        <v>57793.96189844</v>
      </c>
      <c r="G16" s="402">
        <f t="shared" si="1"/>
        <v>136097</v>
      </c>
      <c r="H16" s="402">
        <f t="shared" si="1"/>
        <v>137844.94333333333</v>
      </c>
      <c r="I16" s="402">
        <f t="shared" si="1"/>
        <v>141369.60999999999</v>
      </c>
      <c r="J16" s="402">
        <f t="shared" si="1"/>
        <v>6691</v>
      </c>
      <c r="K16" s="402">
        <f t="shared" si="1"/>
        <v>6707.27</v>
      </c>
      <c r="L16" s="402">
        <f t="shared" si="1"/>
        <v>7064.3033333333333</v>
      </c>
      <c r="M16" s="402">
        <f t="shared" si="1"/>
        <v>3605</v>
      </c>
      <c r="N16" s="402">
        <f t="shared" si="1"/>
        <v>3628.8466666666664</v>
      </c>
      <c r="O16" s="402">
        <f t="shared" si="1"/>
        <v>3822.1533333333332</v>
      </c>
      <c r="P16" s="93">
        <f t="shared" si="1"/>
        <v>3.0321024983518852E-2</v>
      </c>
      <c r="Q16" s="93">
        <f t="shared" si="1"/>
        <v>3.0310394542041541E-2</v>
      </c>
      <c r="R16" s="93">
        <f t="shared" si="1"/>
        <v>6.438758389261745E-2</v>
      </c>
      <c r="S16" s="93">
        <f t="shared" si="1"/>
        <v>6.4604061011518332E-2</v>
      </c>
      <c r="T16" s="99">
        <f t="shared" si="1"/>
        <v>6.5159166973291216E-2</v>
      </c>
    </row>
    <row r="17" spans="2:20" x14ac:dyDescent="0.45">
      <c r="B17" s="100" t="s">
        <v>38</v>
      </c>
      <c r="C17" s="56"/>
      <c r="D17" s="430">
        <f>MEDIAN(D9:D13)</f>
        <v>62.3</v>
      </c>
      <c r="E17" s="428">
        <f t="shared" ref="E17:T17" si="2">MEDIAN(E9:E13)</f>
        <v>44606.323673200008</v>
      </c>
      <c r="F17" s="428">
        <f t="shared" si="2"/>
        <v>55879.323673200008</v>
      </c>
      <c r="G17" s="428">
        <f t="shared" si="2"/>
        <v>120691</v>
      </c>
      <c r="H17" s="428">
        <f t="shared" si="2"/>
        <v>122995.29</v>
      </c>
      <c r="I17" s="428">
        <f t="shared" si="2"/>
        <v>126162.86</v>
      </c>
      <c r="J17" s="428">
        <f t="shared" si="2"/>
        <v>6170</v>
      </c>
      <c r="K17" s="428">
        <f t="shared" si="2"/>
        <v>6555.3666666666659</v>
      </c>
      <c r="L17" s="428">
        <f t="shared" si="2"/>
        <v>6910.57</v>
      </c>
      <c r="M17" s="428">
        <f t="shared" si="2"/>
        <v>3014</v>
      </c>
      <c r="N17" s="428">
        <f t="shared" si="2"/>
        <v>3041</v>
      </c>
      <c r="O17" s="428">
        <f t="shared" si="2"/>
        <v>3153.96</v>
      </c>
      <c r="P17" s="101">
        <f t="shared" si="2"/>
        <v>2.5753587799988154E-2</v>
      </c>
      <c r="Q17" s="101">
        <f t="shared" si="2"/>
        <v>2.4166762324067559E-2</v>
      </c>
      <c r="R17" s="101">
        <f t="shared" si="2"/>
        <v>5.995723638287398E-2</v>
      </c>
      <c r="S17" s="101">
        <f t="shared" si="2"/>
        <v>6.2512219345586928E-2</v>
      </c>
      <c r="T17" s="102">
        <f t="shared" si="2"/>
        <v>6.1073922936242572E-2</v>
      </c>
    </row>
    <row r="18" spans="2:20" x14ac:dyDescent="0.45">
      <c r="B18" s="98" t="s">
        <v>39</v>
      </c>
      <c r="C18" s="28"/>
      <c r="D18" s="73">
        <f>QUARTILE(D9:D13,1)</f>
        <v>50.98</v>
      </c>
      <c r="E18" s="402">
        <f t="shared" ref="E18:T18" si="3">QUARTILE(E9:E13,1)</f>
        <v>18985.194883299999</v>
      </c>
      <c r="F18" s="402">
        <f t="shared" si="3"/>
        <v>31665.519844053531</v>
      </c>
      <c r="G18" s="402">
        <f t="shared" si="3"/>
        <v>76202</v>
      </c>
      <c r="H18" s="402">
        <f t="shared" si="3"/>
        <v>78103.89</v>
      </c>
      <c r="I18" s="402">
        <f t="shared" si="3"/>
        <v>80472.08</v>
      </c>
      <c r="J18" s="402">
        <f t="shared" si="3"/>
        <v>4989</v>
      </c>
      <c r="K18" s="402">
        <f t="shared" si="3"/>
        <v>5401.22</v>
      </c>
      <c r="L18" s="402">
        <f t="shared" si="3"/>
        <v>5531.75</v>
      </c>
      <c r="M18" s="402">
        <f t="shared" si="3"/>
        <v>1856</v>
      </c>
      <c r="N18" s="402">
        <f t="shared" si="3"/>
        <v>1747.69</v>
      </c>
      <c r="O18" s="402">
        <f t="shared" si="3"/>
        <v>1825.89</v>
      </c>
      <c r="P18" s="93">
        <f t="shared" si="3"/>
        <v>2.5569792996638308E-2</v>
      </c>
      <c r="Q18" s="93">
        <f t="shared" si="3"/>
        <v>2.3051603350507266E-2</v>
      </c>
      <c r="R18" s="93">
        <f t="shared" si="3"/>
        <v>4.1336967959499878E-2</v>
      </c>
      <c r="S18" s="93">
        <f t="shared" si="3"/>
        <v>4.3914039309960573E-2</v>
      </c>
      <c r="T18" s="99">
        <f t="shared" si="3"/>
        <v>4.3846104947208711E-2</v>
      </c>
    </row>
    <row r="19" spans="2:20" x14ac:dyDescent="0.45">
      <c r="B19" s="103" t="s">
        <v>40</v>
      </c>
      <c r="C19" s="104"/>
      <c r="D19" s="105">
        <f>MIN(D9:D13)</f>
        <v>23.7</v>
      </c>
      <c r="E19" s="429">
        <f t="shared" ref="E19:T19" si="4">MIN(E9:E13)</f>
        <v>17081.4394866</v>
      </c>
      <c r="F19" s="429">
        <f t="shared" si="4"/>
        <v>16808.542111898329</v>
      </c>
      <c r="G19" s="429">
        <f t="shared" si="4"/>
        <v>42912</v>
      </c>
      <c r="H19" s="429">
        <f t="shared" si="4"/>
        <v>43593.08</v>
      </c>
      <c r="I19" s="429">
        <f t="shared" si="4"/>
        <v>44218.03</v>
      </c>
      <c r="J19" s="429">
        <f t="shared" si="4"/>
        <v>2763</v>
      </c>
      <c r="K19" s="429">
        <f t="shared" si="4"/>
        <v>2816.29</v>
      </c>
      <c r="L19" s="429">
        <f t="shared" si="4"/>
        <v>2881.21</v>
      </c>
      <c r="M19" s="429">
        <f t="shared" si="4"/>
        <v>1521</v>
      </c>
      <c r="N19" s="429">
        <f t="shared" si="4"/>
        <v>1517.28</v>
      </c>
      <c r="O19" s="429">
        <f t="shared" si="4"/>
        <v>1536.64</v>
      </c>
      <c r="P19" s="106">
        <f t="shared" si="4"/>
        <v>1.4335990941681587E-2</v>
      </c>
      <c r="Q19" s="106">
        <f t="shared" si="4"/>
        <v>1.9732327362442792E-3</v>
      </c>
      <c r="R19" s="106">
        <f t="shared" si="4"/>
        <v>4.1238904929954016E-2</v>
      </c>
      <c r="S19" s="106">
        <f t="shared" si="4"/>
        <v>4.1921456098326863E-2</v>
      </c>
      <c r="T19" s="107">
        <f t="shared" si="4"/>
        <v>4.2207449629567469E-2</v>
      </c>
    </row>
    <row r="21" spans="2:20" x14ac:dyDescent="0.45">
      <c r="B21" s="60" t="str">
        <f>INDEX(Pub_Comps_Range,MATCH(Public_Comps!B$5,Pub_Comps_Params,0),MATCH(Public_Comps!$C21,Pub_Comps_Tickers,0))</f>
        <v>Walmart Inc.</v>
      </c>
      <c r="C21" s="61" t="str">
        <f>Ticker</f>
        <v>WMT</v>
      </c>
      <c r="D21" s="108">
        <f>INDEX(Pub_Comps_Range,MATCH(Public_Comps!D$5,Pub_Comps_Params,0),MATCH(Public_Comps!$C21,Pub_Comps_Tickers,0))</f>
        <v>105.110001</v>
      </c>
      <c r="E21" s="461">
        <f>INDEX(Pub_Comps_Range,MATCH(Public_Comps!E$5,Pub_Comps_Params,0),MATCH(Public_Comps!$C21,Pub_Comps_Tickers,0))</f>
        <v>302577.75674874714</v>
      </c>
      <c r="F21" s="461">
        <f>INDEX(Pub_Comps_Range,MATCH(Public_Comps!F$5,Pub_Comps_Params,0),MATCH(Public_Comps!$C21,Pub_Comps_Tickers,0))</f>
        <v>351955.35474102513</v>
      </c>
      <c r="G21" s="461">
        <f>INDEX(Pub_Comps_Range,MATCH(Public_Comps!G$5,Pub_Comps_Params,0),MATCH(Public_Comps!$C21,Pub_Comps_Tickers,0))</f>
        <v>515640</v>
      </c>
      <c r="H21" s="461">
        <f>INDEX(Pub_Comps_Range,MATCH(Public_Comps!H$5,Pub_Comps_Params,0),MATCH(Public_Comps!$C21,Pub_Comps_Tickers,0))</f>
        <v>526618.47038822377</v>
      </c>
      <c r="I21" s="461">
        <f>INDEX(Pub_Comps_Range,MATCH(Public_Comps!I$5,Pub_Comps_Params,0),MATCH(Public_Comps!$C21,Pub_Comps_Tickers,0))</f>
        <v>546853.67361168831</v>
      </c>
      <c r="J21" s="461">
        <f>INDEX(Pub_Comps_Range,MATCH(Public_Comps!J$5,Pub_Comps_Params,0),MATCH(Public_Comps!$C21,Pub_Comps_Tickers,0))</f>
        <v>32462</v>
      </c>
      <c r="K21" s="461">
        <f>INDEX(Pub_Comps_Range,MATCH(Public_Comps!K$5,Pub_Comps_Params,0),MATCH(Public_Comps!$C21,Pub_Comps_Tickers,0))</f>
        <v>32012.261824422545</v>
      </c>
      <c r="L21" s="461">
        <f>INDEX(Pub_Comps_Range,MATCH(Public_Comps!L$5,Pub_Comps_Params,0),MATCH(Public_Comps!$C21,Pub_Comps_Tickers,0))</f>
        <v>32725.084253053607</v>
      </c>
      <c r="M21" s="461">
        <f>INDEX(Pub_Comps_Range,MATCH(Public_Comps!M$5,Pub_Comps_Params,0),MATCH(Public_Comps!$C21,Pub_Comps_Tickers,0))</f>
        <v>8378</v>
      </c>
      <c r="N21" s="461">
        <f>INDEX(Pub_Comps_Range,MATCH(Public_Comps!N$5,Pub_Comps_Params,0),MATCH(Public_Comps!$C21,Pub_Comps_Tickers,0))</f>
        <v>13249.83582473967</v>
      </c>
      <c r="O21" s="461">
        <f>INDEX(Pub_Comps_Range,MATCH(Public_Comps!O$5,Pub_Comps_Params,0),MATCH(Public_Comps!$C21,Pub_Comps_Tickers,0))</f>
        <v>13503.543786589087</v>
      </c>
      <c r="P21" s="109">
        <f>INDEX(Pub_Comps_Range,MATCH(Public_Comps!P$5,Pub_Comps_Params,0),MATCH(Public_Comps!$C21,Pub_Comps_Tickers,0))</f>
        <v>3.842478826947926E-2</v>
      </c>
      <c r="Q21" s="109">
        <f>INDEX(Pub_Comps_Range,MATCH(Public_Comps!Q$5,Pub_Comps_Params,0),MATCH(Public_Comps!$C21,Pub_Comps_Tickers,0))</f>
        <v>2.2267168516260316E-2</v>
      </c>
      <c r="R21" s="109">
        <f>INDEX(Pub_Comps_Range,MATCH(Public_Comps!R$5,Pub_Comps_Params,0),MATCH(Public_Comps!$C21,Pub_Comps_Tickers,0))</f>
        <v>6.2954774648979903E-2</v>
      </c>
      <c r="S21" s="109">
        <f>INDEX(Pub_Comps_Range,MATCH(Public_Comps!S$5,Pub_Comps_Params,0),MATCH(Public_Comps!$C21,Pub_Comps_Tickers,0))</f>
        <v>6.0788338473626018E-2</v>
      </c>
      <c r="T21" s="110">
        <f>INDEX(Pub_Comps_Range,MATCH(Public_Comps!T$5,Pub_Comps_Params,0),MATCH(Public_Comps!$C21,Pub_Comps_Tickers,0))</f>
        <v>5.9842487729708738E-2</v>
      </c>
    </row>
    <row r="23" spans="2:20" hidden="1" outlineLevel="1" x14ac:dyDescent="0.45">
      <c r="B23" s="281" t="str">
        <f>Public_Comps_Data!$B$2</f>
        <v>Company Name:</v>
      </c>
      <c r="C23" s="47" t="str">
        <f>Public_Comps_Data!$B$1</f>
        <v>Ticker:</v>
      </c>
      <c r="D23" s="280" t="str">
        <f>Public_Comps_Data!$B$34</f>
        <v>Share Price:</v>
      </c>
      <c r="E23" s="280" t="str">
        <f>Public_Comps_Data!$B$59</f>
        <v>Equity Value:</v>
      </c>
      <c r="F23" s="280" t="str">
        <f>Public_Comps_Data!$B$60</f>
        <v>Enterprise Value:</v>
      </c>
      <c r="G23" s="280" t="str">
        <f>Public_Comps_Data!$B$90</f>
        <v>LTM EV / Revenue:</v>
      </c>
      <c r="H23" s="280" t="str">
        <f>Public_Comps_Data!$B$94</f>
        <v>2020-01-31 EV / Revenue:</v>
      </c>
      <c r="I23" s="280" t="str">
        <f>Public_Comps_Data!$B$98</f>
        <v>2021-01-31 EV / Revenue:</v>
      </c>
      <c r="J23" s="280" t="str">
        <f>Public_Comps_Data!$B$91</f>
        <v>LTM EV / EBITDA:</v>
      </c>
      <c r="K23" s="280" t="str">
        <f>Public_Comps_Data!$B$95</f>
        <v>2020-01-31 EV / EBITDA:</v>
      </c>
      <c r="L23" s="280" t="str">
        <f>Public_Comps_Data!$B$99</f>
        <v>2021-01-31 EV / EBITDA:</v>
      </c>
      <c r="M23" s="280" t="str">
        <f>Public_Comps_Data!$B$92</f>
        <v>LTM P / E:</v>
      </c>
      <c r="N23" s="281" t="str">
        <f>Public_Comps_Data!$B$96</f>
        <v>2020-01-31 P / E:</v>
      </c>
      <c r="O23" s="281" t="str">
        <f>Public_Comps_Data!$B$100</f>
        <v>2021-01-31 P / E:</v>
      </c>
    </row>
    <row r="24" spans="2:20" collapsed="1" x14ac:dyDescent="0.45">
      <c r="B24" s="48" t="s">
        <v>354</v>
      </c>
      <c r="C24" s="48"/>
      <c r="D24" s="48"/>
      <c r="E24" s="87" t="s">
        <v>24</v>
      </c>
      <c r="F24" s="88"/>
      <c r="G24" s="87" t="s">
        <v>41</v>
      </c>
      <c r="H24" s="88"/>
      <c r="I24" s="88"/>
      <c r="J24" s="87" t="s">
        <v>41</v>
      </c>
      <c r="K24" s="88"/>
      <c r="L24" s="88"/>
      <c r="M24" s="89"/>
      <c r="N24" s="89"/>
      <c r="O24" s="89"/>
    </row>
    <row r="25" spans="2:20" x14ac:dyDescent="0.45">
      <c r="B25" s="89"/>
      <c r="C25" s="89"/>
      <c r="D25" s="49" t="s">
        <v>25</v>
      </c>
      <c r="E25" s="49" t="s">
        <v>26</v>
      </c>
      <c r="F25" s="49" t="s">
        <v>27</v>
      </c>
      <c r="G25" s="87" t="s">
        <v>28</v>
      </c>
      <c r="H25" s="88"/>
      <c r="I25" s="88"/>
      <c r="J25" s="87" t="s">
        <v>29</v>
      </c>
      <c r="K25" s="90"/>
      <c r="L25" s="90"/>
      <c r="M25" s="87" t="s">
        <v>42</v>
      </c>
      <c r="N25" s="87"/>
      <c r="O25" s="87"/>
      <c r="P25" s="111"/>
      <c r="Q25" s="111"/>
      <c r="R25" s="111"/>
      <c r="S25" s="111"/>
      <c r="T25" s="111"/>
    </row>
    <row r="26" spans="2:20" x14ac:dyDescent="0.45">
      <c r="B26" s="50" t="s">
        <v>21</v>
      </c>
      <c r="C26" s="50"/>
      <c r="D26" s="51" t="s">
        <v>33</v>
      </c>
      <c r="E26" s="51" t="s">
        <v>34</v>
      </c>
      <c r="F26" s="51" t="s">
        <v>34</v>
      </c>
      <c r="G26" s="91" t="str">
        <f>$G$8</f>
        <v>LTM</v>
      </c>
      <c r="H26" s="561">
        <f>Forward_Year_1</f>
        <v>43861</v>
      </c>
      <c r="I26" s="561">
        <f>Forward_Year_2</f>
        <v>44227</v>
      </c>
      <c r="J26" s="91" t="str">
        <f>$G$8</f>
        <v>LTM</v>
      </c>
      <c r="K26" s="561">
        <f>Forward_Year_1</f>
        <v>43861</v>
      </c>
      <c r="L26" s="561">
        <f>Forward_Year_2</f>
        <v>44227</v>
      </c>
      <c r="M26" s="91" t="str">
        <f>$G$8</f>
        <v>LTM</v>
      </c>
      <c r="N26" s="561">
        <f>Forward_Year_1</f>
        <v>43861</v>
      </c>
      <c r="O26" s="561">
        <f>Forward_Year_2</f>
        <v>44227</v>
      </c>
      <c r="P26" s="112"/>
      <c r="Q26" s="112"/>
      <c r="R26" s="112"/>
      <c r="S26" s="112"/>
      <c r="T26" s="112"/>
    </row>
    <row r="27" spans="2:20" x14ac:dyDescent="0.45">
      <c r="B27" s="25" t="str">
        <f>INDEX(Pub_Comps_Range,MATCH(Public_Comps!B$23,Pub_Comps_Params,0),MATCH(Public_Comps!$C27,Pub_Comps_Tickers,0))</f>
        <v xml:space="preserve">Costco Wholesale Corporation </v>
      </c>
      <c r="C27" s="25" t="str">
        <f>C9</f>
        <v>COST</v>
      </c>
      <c r="D27" s="92">
        <f>INDEX(Pub_Comps_Range,MATCH(Public_Comps!D$23,Pub_Comps_Params,0),MATCH(Public_Comps!$C27,Pub_Comps_Tickers,0))</f>
        <v>251.21</v>
      </c>
      <c r="E27" s="431">
        <f>INDEX(Pub_Comps_Range,MATCH(Public_Comps!E$23,Pub_Comps_Params,0),MATCH(Public_Comps!$C27,Pub_Comps_Tickers,0))</f>
        <v>112121.09876506</v>
      </c>
      <c r="F27" s="431">
        <f>INDEX(Pub_Comps_Range,MATCH(Public_Comps!F$23,Pub_Comps_Params,0),MATCH(Public_Comps!$C27,Pub_Comps_Tickers,0))</f>
        <v>110817.09876506</v>
      </c>
      <c r="G27" s="636">
        <f>INDEX(Pub_Comps_Range,MATCH(Public_Comps!G$23,Pub_Comps_Params,0),MATCH(Public_Comps!$C27,Pub_Comps_Tickers,0))</f>
        <v>0.74067679101874129</v>
      </c>
      <c r="H27" s="636">
        <f>INDEX(Pub_Comps_Range,MATCH(Public_Comps!H$23,Pub_Comps_Params,0),MATCH(Public_Comps!$C27,Pub_Comps_Tickers,0))</f>
        <v>0.70867342393612587</v>
      </c>
      <c r="I27" s="636">
        <f>INDEX(Pub_Comps_Range,MATCH(Public_Comps!I$23,Pub_Comps_Params,0),MATCH(Public_Comps!$C27,Pub_Comps_Tickers,0))</f>
        <v>0.66210451243662238</v>
      </c>
      <c r="J27" s="636">
        <f>INDEX(Pub_Comps_Range,MATCH(Public_Comps!J$23,Pub_Comps_Params,0),MATCH(Public_Comps!$C27,Pub_Comps_Tickers,0))</f>
        <v>17.960631890609399</v>
      </c>
      <c r="K27" s="636">
        <f>INDEX(Pub_Comps_Range,MATCH(Public_Comps!K$23,Pub_Comps_Params,0),MATCH(Public_Comps!$C27,Pub_Comps_Tickers,0))</f>
        <v>16.904790288627641</v>
      </c>
      <c r="L27" s="636">
        <f>INDEX(Pub_Comps_Range,MATCH(Public_Comps!L$23,Pub_Comps_Params,0),MATCH(Public_Comps!$C27,Pub_Comps_Tickers,0))</f>
        <v>15.686911155437361</v>
      </c>
      <c r="M27" s="636">
        <f>INDEX(Pub_Comps_Range,MATCH(Public_Comps!M$23,Pub_Comps_Params,0),MATCH(Public_Comps!$C27,Pub_Comps_Tickers,0))</f>
        <v>31.101553055495145</v>
      </c>
      <c r="N27" s="636">
        <f>INDEX(Pub_Comps_Range,MATCH(Public_Comps!N$23,Pub_Comps_Params,0),MATCH(Public_Comps!$C27,Pub_Comps_Tickers,0))</f>
        <v>30.897171763956226</v>
      </c>
      <c r="O27" s="636">
        <f>INDEX(Pub_Comps_Range,MATCH(Public_Comps!O$23,Pub_Comps_Params,0),MATCH(Public_Comps!$C27,Pub_Comps_Tickers,0))</f>
        <v>29.334537101701834</v>
      </c>
    </row>
    <row r="28" spans="2:20" x14ac:dyDescent="0.45">
      <c r="B28" s="25" t="str">
        <f>INDEX(Pub_Comps_Range,MATCH(Public_Comps!B$23,Pub_Comps_Params,0),MATCH(Public_Comps!$C28,Pub_Comps_Tickers,0))</f>
        <v xml:space="preserve">Walgreens Boots Alliance, Inc. </v>
      </c>
      <c r="C28" s="25" t="str">
        <f t="shared" ref="C28:C31" si="5">C10</f>
        <v>WBA</v>
      </c>
      <c r="D28" s="73">
        <f>INDEX(Pub_Comps_Range,MATCH(Public_Comps!D$23,Pub_Comps_Params,0),MATCH(Public_Comps!$C28,Pub_Comps_Tickers,0))</f>
        <v>50.98</v>
      </c>
      <c r="E28" s="432">
        <f>INDEX(Pub_Comps_Range,MATCH(Public_Comps!E$23,Pub_Comps_Params,0),MATCH(Public_Comps!$C28,Pub_Comps_Tickers,0))</f>
        <v>46610.96189844</v>
      </c>
      <c r="F28" s="432">
        <f>INDEX(Pub_Comps_Range,MATCH(Public_Comps!F$23,Pub_Comps_Params,0),MATCH(Public_Comps!$C28,Pub_Comps_Tickers,0))</f>
        <v>57793.96189844</v>
      </c>
      <c r="G28" s="636">
        <f>INDEX(Pub_Comps_Range,MATCH(Public_Comps!G$23,Pub_Comps_Params,0),MATCH(Public_Comps!$C28,Pub_Comps_Tickers,0))</f>
        <v>0.42465272488328176</v>
      </c>
      <c r="H28" s="636">
        <f>INDEX(Pub_Comps_Range,MATCH(Public_Comps!H$23,Pub_Comps_Params,0),MATCH(Public_Comps!$C28,Pub_Comps_Tickers,0))</f>
        <v>0.41926791437451594</v>
      </c>
      <c r="I28" s="636">
        <f>INDEX(Pub_Comps_Range,MATCH(Public_Comps!I$23,Pub_Comps_Params,0),MATCH(Public_Comps!$C28,Pub_Comps_Tickers,0))</f>
        <v>0.4088146094372051</v>
      </c>
      <c r="J28" s="636">
        <f>INDEX(Pub_Comps_Range,MATCH(Public_Comps!J$23,Pub_Comps_Params,0),MATCH(Public_Comps!$C28,Pub_Comps_Tickers,0))</f>
        <v>7.0825933699068626</v>
      </c>
      <c r="K28" s="636">
        <f>INDEX(Pub_Comps_Range,MATCH(Public_Comps!K$23,Pub_Comps_Params,0),MATCH(Public_Comps!$C28,Pub_Comps_Tickers,0))</f>
        <v>6.706975352397472</v>
      </c>
      <c r="L28" s="636">
        <f>INDEX(Pub_Comps_Range,MATCH(Public_Comps!L$23,Pub_Comps_Params,0),MATCH(Public_Comps!$C28,Pub_Comps_Tickers,0))</f>
        <v>6.6937669922395928</v>
      </c>
      <c r="M28" s="636">
        <f>INDEX(Pub_Comps_Range,MATCH(Public_Comps!M$23,Pub_Comps_Params,0),MATCH(Public_Comps!$C28,Pub_Comps_Tickers,0))</f>
        <v>9.0806471650964351</v>
      </c>
      <c r="N28" s="636">
        <f>INDEX(Pub_Comps_Range,MATCH(Public_Comps!N$23,Pub_Comps_Params,0),MATCH(Public_Comps!$C28,Pub_Comps_Tickers,0))</f>
        <v>8.5930809209837555</v>
      </c>
      <c r="O28" s="636">
        <f>INDEX(Pub_Comps_Range,MATCH(Public_Comps!O$23,Pub_Comps_Params,0),MATCH(Public_Comps!$C28,Pub_Comps_Tickers,0))</f>
        <v>8.7537309289806178</v>
      </c>
    </row>
    <row r="29" spans="2:20" x14ac:dyDescent="0.45">
      <c r="B29" s="25" t="str">
        <f>INDEX(Pub_Comps_Range,MATCH(Public_Comps!B$23,Pub_Comps_Params,0),MATCH(Public_Comps!$C29,Pub_Comps_Tickers,0))</f>
        <v>The Kroger Co.</v>
      </c>
      <c r="C29" s="25" t="str">
        <f t="shared" si="5"/>
        <v>KR</v>
      </c>
      <c r="D29" s="73">
        <f>INDEX(Pub_Comps_Range,MATCH(Public_Comps!D$23,Pub_Comps_Params,0),MATCH(Public_Comps!$C29,Pub_Comps_Tickers,0))</f>
        <v>23.7</v>
      </c>
      <c r="E29" s="432">
        <f>INDEX(Pub_Comps_Range,MATCH(Public_Comps!E$23,Pub_Comps_Params,0),MATCH(Public_Comps!$C29,Pub_Comps_Tickers,0))</f>
        <v>18985.194883299999</v>
      </c>
      <c r="F29" s="432">
        <f>INDEX(Pub_Comps_Range,MATCH(Public_Comps!F$23,Pub_Comps_Params,0),MATCH(Public_Comps!$C29,Pub_Comps_Tickers,0))</f>
        <v>31665.519844053531</v>
      </c>
      <c r="G29" s="636">
        <f>INDEX(Pub_Comps_Range,MATCH(Public_Comps!G$23,Pub_Comps_Params,0),MATCH(Public_Comps!$C29,Pub_Comps_Tickers,0))</f>
        <v>0.26236852660143284</v>
      </c>
      <c r="H29" s="636">
        <f>INDEX(Pub_Comps_Range,MATCH(Public_Comps!H$23,Pub_Comps_Params,0),MATCH(Public_Comps!$C29,Pub_Comps_Tickers,0))</f>
        <v>0.25745310933494714</v>
      </c>
      <c r="I29" s="636">
        <f>INDEX(Pub_Comps_Range,MATCH(Public_Comps!I$23,Pub_Comps_Params,0),MATCH(Public_Comps!$C29,Pub_Comps_Tickers,0))</f>
        <v>0.25098923600854905</v>
      </c>
      <c r="J29" s="636">
        <f>INDEX(Pub_Comps_Range,MATCH(Public_Comps!J$23,Pub_Comps_Params,0),MATCH(Public_Comps!$C29,Pub_Comps_Tickers,0))</f>
        <v>6.347067517348874</v>
      </c>
      <c r="K29" s="636">
        <f>INDEX(Pub_Comps_Range,MATCH(Public_Comps!K$23,Pub_Comps_Params,0),MATCH(Public_Comps!$C29,Pub_Comps_Tickers,0))</f>
        <v>5.8626606292751511</v>
      </c>
      <c r="L29" s="636">
        <f>INDEX(Pub_Comps_Range,MATCH(Public_Comps!L$23,Pub_Comps_Params,0),MATCH(Public_Comps!$C29,Pub_Comps_Tickers,0))</f>
        <v>5.7243222929549473</v>
      </c>
      <c r="M29" s="636">
        <f>INDEX(Pub_Comps_Range,MATCH(Public_Comps!M$23,Pub_Comps_Params,0),MATCH(Public_Comps!$C29,Pub_Comps_Tickers,0))</f>
        <v>10.229092070743533</v>
      </c>
      <c r="N29" s="636">
        <f>INDEX(Pub_Comps_Range,MATCH(Public_Comps!N$23,Pub_Comps_Params,0),MATCH(Public_Comps!$C29,Pub_Comps_Tickers,0))</f>
        <v>10.863021979470043</v>
      </c>
      <c r="O29" s="636">
        <f>INDEX(Pub_Comps_Range,MATCH(Public_Comps!O$23,Pub_Comps_Params,0),MATCH(Public_Comps!$C29,Pub_Comps_Tickers,0))</f>
        <v>10.397775815246263</v>
      </c>
    </row>
    <row r="30" spans="2:20" x14ac:dyDescent="0.45">
      <c r="B30" s="25" t="str">
        <f>INDEX(Pub_Comps_Range,MATCH(Public_Comps!B$23,Pub_Comps_Params,0),MATCH(Public_Comps!$C30,Pub_Comps_Tickers,0))</f>
        <v>Target Corporation</v>
      </c>
      <c r="C30" s="25" t="str">
        <f t="shared" si="5"/>
        <v>TGT</v>
      </c>
      <c r="D30" s="73">
        <f>INDEX(Pub_Comps_Range,MATCH(Public_Comps!D$23,Pub_Comps_Params,0),MATCH(Public_Comps!$C30,Pub_Comps_Tickers,0))</f>
        <v>85.7</v>
      </c>
      <c r="E30" s="432">
        <f>INDEX(Pub_Comps_Range,MATCH(Public_Comps!E$23,Pub_Comps_Params,0),MATCH(Public_Comps!$C30,Pub_Comps_Tickers,0))</f>
        <v>44606.323673200008</v>
      </c>
      <c r="F30" s="432">
        <f>INDEX(Pub_Comps_Range,MATCH(Public_Comps!F$23,Pub_Comps_Params,0),MATCH(Public_Comps!$C30,Pub_Comps_Tickers,0))</f>
        <v>55879.323673200008</v>
      </c>
      <c r="G30" s="636">
        <f>INDEX(Pub_Comps_Range,MATCH(Public_Comps!G$23,Pub_Comps_Params,0),MATCH(Public_Comps!$C30,Pub_Comps_Tickers,0))</f>
        <v>0.73330521079761701</v>
      </c>
      <c r="H30" s="636">
        <f>INDEX(Pub_Comps_Range,MATCH(Public_Comps!H$23,Pub_Comps_Params,0),MATCH(Public_Comps!$C30,Pub_Comps_Tickers,0))</f>
        <v>0.71544866296928367</v>
      </c>
      <c r="I30" s="636">
        <f>INDEX(Pub_Comps_Range,MATCH(Public_Comps!I$23,Pub_Comps_Params,0),MATCH(Public_Comps!$C30,Pub_Comps_Tickers,0))</f>
        <v>0.69439392734970939</v>
      </c>
      <c r="J30" s="636">
        <f>INDEX(Pub_Comps_Range,MATCH(Public_Comps!J$23,Pub_Comps_Params,0),MATCH(Public_Comps!$C30,Pub_Comps_Tickers,0))</f>
        <v>8.3514158830070251</v>
      </c>
      <c r="K30" s="636">
        <f>INDEX(Pub_Comps_Range,MATCH(Public_Comps!K$23,Pub_Comps_Params,0),MATCH(Public_Comps!$C30,Pub_Comps_Tickers,0))</f>
        <v>8.3311576354015866</v>
      </c>
      <c r="L30" s="636">
        <f>INDEX(Pub_Comps_Range,MATCH(Public_Comps!L$23,Pub_Comps_Params,0),MATCH(Public_Comps!$C30,Pub_Comps_Tickers,0))</f>
        <v>8.0860657909839571</v>
      </c>
      <c r="M30" s="636">
        <f>INDEX(Pub_Comps_Range,MATCH(Public_Comps!M$23,Pub_Comps_Params,0),MATCH(Public_Comps!$C30,Pub_Comps_Tickers,0))</f>
        <v>14.799709247909757</v>
      </c>
      <c r="N30" s="636">
        <f>INDEX(Pub_Comps_Range,MATCH(Public_Comps!N$23,Pub_Comps_Params,0),MATCH(Public_Comps!$C30,Pub_Comps_Tickers,0))</f>
        <v>14.668307686024336</v>
      </c>
      <c r="O30" s="636">
        <f>INDEX(Pub_Comps_Range,MATCH(Public_Comps!O$23,Pub_Comps_Params,0),MATCH(Public_Comps!$C30,Pub_Comps_Tickers,0))</f>
        <v>14.14295795545917</v>
      </c>
    </row>
    <row r="31" spans="2:20" x14ac:dyDescent="0.45">
      <c r="B31" s="25" t="str">
        <f>INDEX(Pub_Comps_Range,MATCH(Public_Comps!B$23,Pub_Comps_Params,0),MATCH(Public_Comps!$C31,Pub_Comps_Tickers,0))</f>
        <v>Best Buy Co., Inc.</v>
      </c>
      <c r="C31" s="25" t="str">
        <f t="shared" si="5"/>
        <v>BBY</v>
      </c>
      <c r="D31" s="73">
        <f>INDEX(Pub_Comps_Range,MATCH(Public_Comps!D$23,Pub_Comps_Params,0),MATCH(Public_Comps!$C31,Pub_Comps_Tickers,0))</f>
        <v>62.3</v>
      </c>
      <c r="E31" s="432">
        <f>INDEX(Pub_Comps_Range,MATCH(Public_Comps!E$23,Pub_Comps_Params,0),MATCH(Public_Comps!$C31,Pub_Comps_Tickers,0))</f>
        <v>17081.4394866</v>
      </c>
      <c r="F31" s="432">
        <f>INDEX(Pub_Comps_Range,MATCH(Public_Comps!F$23,Pub_Comps_Params,0),MATCH(Public_Comps!$C31,Pub_Comps_Tickers,0))</f>
        <v>16808.542111898329</v>
      </c>
      <c r="G31" s="636">
        <f>INDEX(Pub_Comps_Range,MATCH(Public_Comps!G$23,Pub_Comps_Params,0),MATCH(Public_Comps!$C31,Pub_Comps_Tickers,0))</f>
        <v>0.39169794257779478</v>
      </c>
      <c r="H31" s="636">
        <f>INDEX(Pub_Comps_Range,MATCH(Public_Comps!H$23,Pub_Comps_Params,0),MATCH(Public_Comps!$C31,Pub_Comps_Tickers,0))</f>
        <v>0.38557821819193155</v>
      </c>
      <c r="I31" s="636">
        <f>INDEX(Pub_Comps_Range,MATCH(Public_Comps!I$23,Pub_Comps_Params,0),MATCH(Public_Comps!$C31,Pub_Comps_Tickers,0))</f>
        <v>0.38012869664022414</v>
      </c>
      <c r="J31" s="636">
        <f>INDEX(Pub_Comps_Range,MATCH(Public_Comps!J$23,Pub_Comps_Params,0),MATCH(Public_Comps!$C31,Pub_Comps_Tickers,0))</f>
        <v>6.0834390560616463</v>
      </c>
      <c r="K31" s="636">
        <f>INDEX(Pub_Comps_Range,MATCH(Public_Comps!K$23,Pub_Comps_Params,0),MATCH(Public_Comps!$C31,Pub_Comps_Tickers,0))</f>
        <v>5.9683278752892379</v>
      </c>
      <c r="L31" s="636">
        <f>INDEX(Pub_Comps_Range,MATCH(Public_Comps!L$23,Pub_Comps_Params,0),MATCH(Public_Comps!$C31,Pub_Comps_Tickers,0))</f>
        <v>5.83384831785893</v>
      </c>
      <c r="M31" s="636">
        <f>INDEX(Pub_Comps_Range,MATCH(Public_Comps!M$23,Pub_Comps_Params,0),MATCH(Public_Comps!$C31,Pub_Comps_Tickers,0))</f>
        <v>11.230400714398423</v>
      </c>
      <c r="N31" s="636">
        <f>INDEX(Pub_Comps_Range,MATCH(Public_Comps!N$23,Pub_Comps_Params,0),MATCH(Public_Comps!$C31,Pub_Comps_Tickers,0))</f>
        <v>11.257934914188548</v>
      </c>
      <c r="O31" s="636">
        <f>INDEX(Pub_Comps_Range,MATCH(Public_Comps!O$23,Pub_Comps_Params,0),MATCH(Public_Comps!$C31,Pub_Comps_Tickers,0))</f>
        <v>11.116097125286338</v>
      </c>
    </row>
    <row r="33" spans="2:15" x14ac:dyDescent="0.45">
      <c r="B33" s="94" t="s">
        <v>36</v>
      </c>
      <c r="C33" s="30"/>
      <c r="D33" s="95">
        <f>MAX(D27:D31)</f>
        <v>251.21</v>
      </c>
      <c r="E33" s="433">
        <f t="shared" ref="E33:O33" si="6">MAX(E27:E31)</f>
        <v>112121.09876506</v>
      </c>
      <c r="F33" s="433">
        <f t="shared" si="6"/>
        <v>110817.09876506</v>
      </c>
      <c r="G33" s="637">
        <f t="shared" si="6"/>
        <v>0.74067679101874129</v>
      </c>
      <c r="H33" s="637">
        <f t="shared" si="6"/>
        <v>0.71544866296928367</v>
      </c>
      <c r="I33" s="637">
        <f t="shared" si="6"/>
        <v>0.69439392734970939</v>
      </c>
      <c r="J33" s="637">
        <f t="shared" si="6"/>
        <v>17.960631890609399</v>
      </c>
      <c r="K33" s="637">
        <f t="shared" si="6"/>
        <v>16.904790288627641</v>
      </c>
      <c r="L33" s="637">
        <f t="shared" si="6"/>
        <v>15.686911155437361</v>
      </c>
      <c r="M33" s="637">
        <f t="shared" si="6"/>
        <v>31.101553055495145</v>
      </c>
      <c r="N33" s="637">
        <f t="shared" si="6"/>
        <v>30.897171763956226</v>
      </c>
      <c r="O33" s="638">
        <f t="shared" si="6"/>
        <v>29.334537101701834</v>
      </c>
    </row>
    <row r="34" spans="2:15" x14ac:dyDescent="0.45">
      <c r="B34" s="98" t="s">
        <v>37</v>
      </c>
      <c r="D34" s="73">
        <f>QUARTILE(D27:D31,3)</f>
        <v>85.7</v>
      </c>
      <c r="E34" s="432">
        <f t="shared" ref="E34:O34" si="7">QUARTILE(E27:E31,3)</f>
        <v>46610.96189844</v>
      </c>
      <c r="F34" s="432">
        <f t="shared" si="7"/>
        <v>57793.96189844</v>
      </c>
      <c r="G34" s="636">
        <f t="shared" si="7"/>
        <v>0.73330521079761701</v>
      </c>
      <c r="H34" s="636">
        <f t="shared" si="7"/>
        <v>0.70867342393612587</v>
      </c>
      <c r="I34" s="636">
        <f t="shared" si="7"/>
        <v>0.66210451243662238</v>
      </c>
      <c r="J34" s="636">
        <f t="shared" si="7"/>
        <v>8.3514158830070251</v>
      </c>
      <c r="K34" s="636">
        <f t="shared" si="7"/>
        <v>8.3311576354015866</v>
      </c>
      <c r="L34" s="636">
        <f t="shared" si="7"/>
        <v>8.0860657909839571</v>
      </c>
      <c r="M34" s="636">
        <f t="shared" si="7"/>
        <v>14.799709247909757</v>
      </c>
      <c r="N34" s="636">
        <f t="shared" si="7"/>
        <v>14.668307686024336</v>
      </c>
      <c r="O34" s="639">
        <f t="shared" si="7"/>
        <v>14.14295795545917</v>
      </c>
    </row>
    <row r="35" spans="2:15" x14ac:dyDescent="0.45">
      <c r="B35" s="100" t="s">
        <v>38</v>
      </c>
      <c r="C35" s="56"/>
      <c r="D35" s="430">
        <f>MEDIAN(D27:D31)</f>
        <v>62.3</v>
      </c>
      <c r="E35" s="434">
        <f t="shared" ref="E35:O35" si="8">MEDIAN(E27:E31)</f>
        <v>44606.323673200008</v>
      </c>
      <c r="F35" s="434">
        <f t="shared" si="8"/>
        <v>55879.323673200008</v>
      </c>
      <c r="G35" s="640">
        <f t="shared" si="8"/>
        <v>0.42465272488328176</v>
      </c>
      <c r="H35" s="640">
        <f t="shared" si="8"/>
        <v>0.41926791437451594</v>
      </c>
      <c r="I35" s="640">
        <f t="shared" si="8"/>
        <v>0.4088146094372051</v>
      </c>
      <c r="J35" s="640">
        <f t="shared" si="8"/>
        <v>7.0825933699068626</v>
      </c>
      <c r="K35" s="640">
        <f t="shared" si="8"/>
        <v>6.706975352397472</v>
      </c>
      <c r="L35" s="640">
        <f t="shared" si="8"/>
        <v>6.6937669922395928</v>
      </c>
      <c r="M35" s="640">
        <f t="shared" si="8"/>
        <v>11.230400714398423</v>
      </c>
      <c r="N35" s="640">
        <f t="shared" si="8"/>
        <v>11.257934914188548</v>
      </c>
      <c r="O35" s="641">
        <f t="shared" si="8"/>
        <v>11.116097125286338</v>
      </c>
    </row>
    <row r="36" spans="2:15" x14ac:dyDescent="0.45">
      <c r="B36" s="98" t="s">
        <v>39</v>
      </c>
      <c r="C36" s="28"/>
      <c r="D36" s="73">
        <f>QUARTILE(D27:D31,1)</f>
        <v>50.98</v>
      </c>
      <c r="E36" s="432">
        <f t="shared" ref="E36:O36" si="9">QUARTILE(E27:E31,1)</f>
        <v>18985.194883299999</v>
      </c>
      <c r="F36" s="432">
        <f t="shared" si="9"/>
        <v>31665.519844053531</v>
      </c>
      <c r="G36" s="636">
        <f t="shared" si="9"/>
        <v>0.39169794257779478</v>
      </c>
      <c r="H36" s="636">
        <f t="shared" si="9"/>
        <v>0.38557821819193155</v>
      </c>
      <c r="I36" s="636">
        <f t="shared" si="9"/>
        <v>0.38012869664022414</v>
      </c>
      <c r="J36" s="636">
        <f t="shared" si="9"/>
        <v>6.347067517348874</v>
      </c>
      <c r="K36" s="636">
        <f t="shared" si="9"/>
        <v>5.9683278752892379</v>
      </c>
      <c r="L36" s="636">
        <f t="shared" si="9"/>
        <v>5.83384831785893</v>
      </c>
      <c r="M36" s="636">
        <f t="shared" si="9"/>
        <v>10.229092070743533</v>
      </c>
      <c r="N36" s="636">
        <f t="shared" si="9"/>
        <v>10.863021979470043</v>
      </c>
      <c r="O36" s="639">
        <f t="shared" si="9"/>
        <v>10.397775815246263</v>
      </c>
    </row>
    <row r="37" spans="2:15" x14ac:dyDescent="0.45">
      <c r="B37" s="103" t="s">
        <v>40</v>
      </c>
      <c r="C37" s="104"/>
      <c r="D37" s="105">
        <f>MIN(D27:D31)</f>
        <v>23.7</v>
      </c>
      <c r="E37" s="435">
        <f t="shared" ref="E37:O37" si="10">MIN(E27:E31)</f>
        <v>17081.4394866</v>
      </c>
      <c r="F37" s="435">
        <f t="shared" si="10"/>
        <v>16808.542111898329</v>
      </c>
      <c r="G37" s="642">
        <f t="shared" si="10"/>
        <v>0.26236852660143284</v>
      </c>
      <c r="H37" s="642">
        <f t="shared" si="10"/>
        <v>0.25745310933494714</v>
      </c>
      <c r="I37" s="642">
        <f t="shared" si="10"/>
        <v>0.25098923600854905</v>
      </c>
      <c r="J37" s="642">
        <f t="shared" si="10"/>
        <v>6.0834390560616463</v>
      </c>
      <c r="K37" s="642">
        <f t="shared" si="10"/>
        <v>5.8626606292751511</v>
      </c>
      <c r="L37" s="642">
        <f t="shared" si="10"/>
        <v>5.7243222929549473</v>
      </c>
      <c r="M37" s="642">
        <f t="shared" si="10"/>
        <v>9.0806471650964351</v>
      </c>
      <c r="N37" s="642">
        <f t="shared" si="10"/>
        <v>8.5930809209837555</v>
      </c>
      <c r="O37" s="643">
        <f t="shared" si="10"/>
        <v>8.7537309289806178</v>
      </c>
    </row>
    <row r="39" spans="2:15" x14ac:dyDescent="0.45">
      <c r="B39" s="60" t="str">
        <f>INDEX(Pub_Comps_Range,MATCH(Public_Comps!B$23,Pub_Comps_Params,0),MATCH(Public_Comps!$C39,Pub_Comps_Tickers,0))</f>
        <v>Walmart Inc.</v>
      </c>
      <c r="C39" s="61" t="str">
        <f>Ticker</f>
        <v>WMT</v>
      </c>
      <c r="D39" s="108">
        <f>INDEX(Pub_Comps_Range,MATCH(Public_Comps!D$23,Pub_Comps_Params,0),MATCH(Public_Comps!$C39,Pub_Comps_Tickers,0))</f>
        <v>105.110001</v>
      </c>
      <c r="E39" s="461">
        <f>INDEX(Pub_Comps_Range,MATCH(Public_Comps!E$23,Pub_Comps_Params,0),MATCH(Public_Comps!$C39,Pub_Comps_Tickers,0))</f>
        <v>302577.75674874714</v>
      </c>
      <c r="F39" s="461">
        <f>INDEX(Pub_Comps_Range,MATCH(Public_Comps!F$23,Pub_Comps_Params,0),MATCH(Public_Comps!$C39,Pub_Comps_Tickers,0))</f>
        <v>351955.35474102513</v>
      </c>
      <c r="G39" s="644">
        <f>INDEX(Pub_Comps_Range,MATCH(Public_Comps!G$23,Pub_Comps_Params,0),MATCH(Public_Comps!$C39,Pub_Comps_Tickers,0))</f>
        <v>0.68256022562451546</v>
      </c>
      <c r="H39" s="644">
        <f>INDEX(Pub_Comps_Range,MATCH(Public_Comps!H$23,Pub_Comps_Params,0),MATCH(Public_Comps!$C39,Pub_Comps_Tickers,0))</f>
        <v>0.66833082113804942</v>
      </c>
      <c r="I39" s="644">
        <f>INDEX(Pub_Comps_Range,MATCH(Public_Comps!I$23,Pub_Comps_Params,0),MATCH(Public_Comps!$C39,Pub_Comps_Tickers,0))</f>
        <v>0.64360060419186793</v>
      </c>
      <c r="J39" s="644">
        <f>INDEX(Pub_Comps_Range,MATCH(Public_Comps!J$23,Pub_Comps_Params,0),MATCH(Public_Comps!$C39,Pub_Comps_Tickers,0))</f>
        <v>10.842072415163118</v>
      </c>
      <c r="K39" s="644">
        <f>INDEX(Pub_Comps_Range,MATCH(Public_Comps!K$23,Pub_Comps_Params,0),MATCH(Public_Comps!$C39,Pub_Comps_Tickers,0))</f>
        <v>10.994391982403258</v>
      </c>
      <c r="L39" s="644">
        <f>INDEX(Pub_Comps_Range,MATCH(Public_Comps!L$23,Pub_Comps_Params,0),MATCH(Public_Comps!$C39,Pub_Comps_Tickers,0))</f>
        <v>10.754910576225143</v>
      </c>
      <c r="M39" s="644">
        <f>INDEX(Pub_Comps_Range,MATCH(Public_Comps!M$23,Pub_Comps_Params,0),MATCH(Public_Comps!$C39,Pub_Comps_Tickers,0))</f>
        <v>36.1157503877712</v>
      </c>
      <c r="N39" s="644">
        <f>INDEX(Pub_Comps_Range,MATCH(Public_Comps!N$23,Pub_Comps_Params,0),MATCH(Public_Comps!$C39,Pub_Comps_Tickers,0))</f>
        <v>22.83634006874135</v>
      </c>
      <c r="O39" s="645">
        <f>INDEX(Pub_Comps_Range,MATCH(Public_Comps!O$23,Pub_Comps_Params,0),MATCH(Public_Comps!$C39,Pub_Comps_Tickers,0))</f>
        <v>22.407285193480046</v>
      </c>
    </row>
    <row r="40" spans="2:15" x14ac:dyDescent="0.45">
      <c r="M40" s="113"/>
    </row>
    <row r="41" spans="2:15" x14ac:dyDescent="0.45">
      <c r="F41" s="114"/>
    </row>
  </sheetData>
  <sortState xmlns:xlrd2="http://schemas.microsoft.com/office/spreadsheetml/2017/richdata2" ref="A9:U13">
    <sortCondition descending="1" ref="G9:G13"/>
  </sortState>
  <pageMargins left="0.75" right="0.75" top="1" bottom="1" header="0.5" footer="0.5"/>
  <pageSetup scale="32" orientation="portrait" horizontalDpi="200" verticalDpi="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0000FF"/>
    <pageSetUpPr autoPageBreaks="0"/>
  </sheetPr>
  <dimension ref="A1:AH105"/>
  <sheetViews>
    <sheetView showGridLines="0" zoomScaleNormal="100" zoomScaleSheetLayoutView="55" workbookViewId="0">
      <pane xSplit="3" ySplit="5" topLeftCell="D60" activePane="bottomRight" state="frozen"/>
      <selection pane="topRight" activeCell="D1" sqref="D1"/>
      <selection pane="bottomLeft" activeCell="A6" sqref="A6"/>
      <selection pane="bottomRight" activeCell="E65" sqref="E65"/>
    </sheetView>
  </sheetViews>
  <sheetFormatPr defaultColWidth="8.84375" defaultRowHeight="15.9" x14ac:dyDescent="0.45"/>
  <cols>
    <col min="1" max="1" width="2.69140625" style="135" customWidth="1"/>
    <col min="2" max="2" width="26.15234375" style="135" bestFit="1" customWidth="1"/>
    <col min="3" max="3" width="10.69140625" style="135" customWidth="1"/>
    <col min="4" max="32" width="12.69140625" style="135" customWidth="1"/>
    <col min="33" max="16384" width="8.84375" style="135"/>
  </cols>
  <sheetData>
    <row r="1" spans="1:34" x14ac:dyDescent="0.45">
      <c r="A1" s="198"/>
      <c r="B1" s="473" t="s">
        <v>13</v>
      </c>
      <c r="C1" s="245"/>
      <c r="D1" s="136"/>
      <c r="E1" s="137"/>
      <c r="F1" s="138"/>
      <c r="G1" s="139" t="s">
        <v>331</v>
      </c>
      <c r="H1" s="245"/>
      <c r="I1" s="136"/>
      <c r="J1" s="137"/>
      <c r="K1" s="138"/>
      <c r="L1" s="139" t="s">
        <v>335</v>
      </c>
      <c r="M1" s="245"/>
      <c r="N1" s="136"/>
      <c r="O1" s="137"/>
      <c r="P1" s="138"/>
      <c r="Q1" s="139" t="s">
        <v>333</v>
      </c>
      <c r="R1" s="245"/>
      <c r="S1" s="136"/>
      <c r="T1" s="137"/>
      <c r="U1" s="138"/>
      <c r="V1" s="139" t="s">
        <v>337</v>
      </c>
      <c r="W1" s="245"/>
      <c r="X1" s="136"/>
      <c r="Y1" s="137"/>
      <c r="Z1" s="138"/>
      <c r="AA1" s="139" t="s">
        <v>338</v>
      </c>
      <c r="AB1" s="245"/>
      <c r="AC1" s="136"/>
      <c r="AD1" s="137"/>
      <c r="AE1" s="138"/>
      <c r="AF1" s="139" t="str">
        <f>Ticker</f>
        <v>WMT</v>
      </c>
    </row>
    <row r="2" spans="1:34" x14ac:dyDescent="0.45">
      <c r="A2" s="246"/>
      <c r="B2" s="473" t="s">
        <v>0</v>
      </c>
      <c r="C2" s="245"/>
      <c r="D2" s="140"/>
      <c r="E2" s="141"/>
      <c r="F2" s="142"/>
      <c r="G2" s="143" t="s">
        <v>330</v>
      </c>
      <c r="H2" s="245"/>
      <c r="I2" s="140"/>
      <c r="J2" s="141"/>
      <c r="K2" s="142"/>
      <c r="L2" s="143" t="s">
        <v>334</v>
      </c>
      <c r="M2" s="245"/>
      <c r="N2" s="140"/>
      <c r="O2" s="141"/>
      <c r="P2" s="142"/>
      <c r="Q2" s="143" t="s">
        <v>332</v>
      </c>
      <c r="R2" s="245"/>
      <c r="S2" s="140"/>
      <c r="T2" s="141"/>
      <c r="U2" s="142"/>
      <c r="V2" s="143" t="s">
        <v>336</v>
      </c>
      <c r="W2" s="245"/>
      <c r="X2" s="140"/>
      <c r="Y2" s="141"/>
      <c r="Z2" s="142"/>
      <c r="AA2" s="143" t="s">
        <v>339</v>
      </c>
      <c r="AB2" s="245"/>
      <c r="AC2" s="140"/>
      <c r="AD2" s="141"/>
      <c r="AE2" s="142"/>
      <c r="AF2" s="143" t="str">
        <f>Company_Name</f>
        <v>Walmart Inc.</v>
      </c>
    </row>
    <row r="3" spans="1:34" x14ac:dyDescent="0.45">
      <c r="A3" s="246"/>
      <c r="B3" s="245"/>
      <c r="C3" s="245"/>
      <c r="D3" s="183" t="s">
        <v>156</v>
      </c>
      <c r="E3" s="247"/>
      <c r="F3" s="247"/>
      <c r="G3" s="248"/>
      <c r="H3" s="245"/>
      <c r="I3" s="183" t="s">
        <v>156</v>
      </c>
      <c r="J3" s="247"/>
      <c r="K3" s="247"/>
      <c r="L3" s="248"/>
      <c r="M3" s="245"/>
      <c r="N3" s="183" t="s">
        <v>156</v>
      </c>
      <c r="O3" s="247"/>
      <c r="P3" s="247"/>
      <c r="Q3" s="248"/>
      <c r="R3" s="245"/>
      <c r="S3" s="183" t="s">
        <v>156</v>
      </c>
      <c r="T3" s="247"/>
      <c r="U3" s="247"/>
      <c r="V3" s="248"/>
      <c r="W3" s="245"/>
      <c r="X3" s="183" t="s">
        <v>156</v>
      </c>
      <c r="Y3" s="247"/>
      <c r="Z3" s="247"/>
      <c r="AA3" s="248"/>
      <c r="AB3" s="245"/>
      <c r="AC3" s="183" t="s">
        <v>156</v>
      </c>
      <c r="AD3" s="247"/>
      <c r="AE3" s="247"/>
      <c r="AF3" s="248"/>
    </row>
    <row r="4" spans="1:34" x14ac:dyDescent="0.45">
      <c r="A4" s="246"/>
      <c r="B4" s="245"/>
      <c r="C4" s="245"/>
      <c r="D4" s="184">
        <v>43233</v>
      </c>
      <c r="E4" s="185">
        <v>43598</v>
      </c>
      <c r="F4" s="186">
        <v>43345</v>
      </c>
      <c r="G4" s="187">
        <f>+E4</f>
        <v>43598</v>
      </c>
      <c r="H4" s="245"/>
      <c r="I4" s="184">
        <v>43159</v>
      </c>
      <c r="J4" s="185">
        <v>43524</v>
      </c>
      <c r="K4" s="186">
        <v>43343</v>
      </c>
      <c r="L4" s="187">
        <f>+J4</f>
        <v>43524</v>
      </c>
      <c r="M4" s="245"/>
      <c r="N4" s="184">
        <v>43246</v>
      </c>
      <c r="O4" s="185">
        <v>43610</v>
      </c>
      <c r="P4" s="186">
        <v>43498</v>
      </c>
      <c r="Q4" s="187">
        <f>+O4</f>
        <v>43610</v>
      </c>
      <c r="R4" s="245"/>
      <c r="S4" s="184">
        <v>43225</v>
      </c>
      <c r="T4" s="185">
        <v>43589</v>
      </c>
      <c r="U4" s="186">
        <v>43498</v>
      </c>
      <c r="V4" s="187">
        <f>+T4</f>
        <v>43589</v>
      </c>
      <c r="W4" s="245"/>
      <c r="X4" s="184">
        <v>43225</v>
      </c>
      <c r="Y4" s="185">
        <v>43589</v>
      </c>
      <c r="Z4" s="186">
        <v>43498</v>
      </c>
      <c r="AA4" s="187">
        <f>+Y4</f>
        <v>43589</v>
      </c>
      <c r="AB4" s="245"/>
      <c r="AC4" s="184">
        <v>43220</v>
      </c>
      <c r="AD4" s="185">
        <v>43585</v>
      </c>
      <c r="AE4" s="186">
        <v>43496</v>
      </c>
      <c r="AF4" s="187">
        <f>+AD4</f>
        <v>43585</v>
      </c>
    </row>
    <row r="5" spans="1:34" x14ac:dyDescent="0.45">
      <c r="A5" s="246"/>
      <c r="B5" s="245"/>
      <c r="C5" s="245"/>
      <c r="D5" s="188" t="s">
        <v>43</v>
      </c>
      <c r="E5" s="189" t="s">
        <v>44</v>
      </c>
      <c r="F5" s="190" t="s">
        <v>45</v>
      </c>
      <c r="G5" s="191" t="s">
        <v>20</v>
      </c>
      <c r="H5" s="245"/>
      <c r="I5" s="188" t="str">
        <f>$D$5</f>
        <v>Old Partial</v>
      </c>
      <c r="J5" s="189" t="str">
        <f>$E$5</f>
        <v>New Partial</v>
      </c>
      <c r="K5" s="190" t="str">
        <f>$F$5</f>
        <v>FY</v>
      </c>
      <c r="L5" s="191" t="str">
        <f>$G$5</f>
        <v>LTM</v>
      </c>
      <c r="M5" s="245"/>
      <c r="N5" s="188" t="str">
        <f>$D$5</f>
        <v>Old Partial</v>
      </c>
      <c r="O5" s="189" t="str">
        <f>$E$5</f>
        <v>New Partial</v>
      </c>
      <c r="P5" s="190" t="str">
        <f>$F$5</f>
        <v>FY</v>
      </c>
      <c r="Q5" s="191" t="str">
        <f>$G$5</f>
        <v>LTM</v>
      </c>
      <c r="R5" s="245"/>
      <c r="S5" s="188" t="str">
        <f>$D$5</f>
        <v>Old Partial</v>
      </c>
      <c r="T5" s="189" t="str">
        <f>$E$5</f>
        <v>New Partial</v>
      </c>
      <c r="U5" s="190" t="str">
        <f>$F$5</f>
        <v>FY</v>
      </c>
      <c r="V5" s="191" t="str">
        <f>$G$5</f>
        <v>LTM</v>
      </c>
      <c r="W5" s="245"/>
      <c r="X5" s="188" t="str">
        <f>$D$5</f>
        <v>Old Partial</v>
      </c>
      <c r="Y5" s="189" t="str">
        <f>$E$5</f>
        <v>New Partial</v>
      </c>
      <c r="Z5" s="190" t="str">
        <f>$F$5</f>
        <v>FY</v>
      </c>
      <c r="AA5" s="191" t="str">
        <f>$G$5</f>
        <v>LTM</v>
      </c>
      <c r="AB5" s="245"/>
      <c r="AC5" s="188" t="str">
        <f>$D$5</f>
        <v>Old Partial</v>
      </c>
      <c r="AD5" s="189" t="str">
        <f>$E$5</f>
        <v>New Partial</v>
      </c>
      <c r="AE5" s="190" t="str">
        <f>$F$5</f>
        <v>FY</v>
      </c>
      <c r="AF5" s="191" t="str">
        <f>$G$5</f>
        <v>LTM</v>
      </c>
    </row>
    <row r="6" spans="1:34" x14ac:dyDescent="0.45">
      <c r="A6" s="246"/>
      <c r="B6" s="473" t="s">
        <v>370</v>
      </c>
      <c r="C6" s="245"/>
      <c r="D6" s="410">
        <v>97165</v>
      </c>
      <c r="E6" s="411">
        <v>105205</v>
      </c>
      <c r="F6" s="411">
        <v>141576</v>
      </c>
      <c r="G6" s="412">
        <f t="shared" ref="G6:G11" si="0">F6+E6-D6</f>
        <v>149616</v>
      </c>
      <c r="H6" s="245"/>
      <c r="I6" s="410">
        <v>63761</v>
      </c>
      <c r="J6" s="411">
        <v>68321</v>
      </c>
      <c r="K6" s="411">
        <v>131537</v>
      </c>
      <c r="L6" s="412">
        <f t="shared" ref="L6:L11" si="1">+K6+J6-I6</f>
        <v>136097</v>
      </c>
      <c r="M6" s="245"/>
      <c r="N6" s="410">
        <v>37722</v>
      </c>
      <c r="O6" s="411">
        <v>37251</v>
      </c>
      <c r="P6" s="411">
        <v>121162</v>
      </c>
      <c r="Q6" s="412">
        <f t="shared" ref="Q6:Q11" si="2">+P6+O6-N6</f>
        <v>120691</v>
      </c>
      <c r="R6" s="245"/>
      <c r="S6" s="410">
        <v>16781</v>
      </c>
      <c r="T6" s="411">
        <v>17627</v>
      </c>
      <c r="U6" s="411">
        <v>75356</v>
      </c>
      <c r="V6" s="412">
        <f t="shared" ref="V6" si="3">+U6+T6-S6</f>
        <v>76202</v>
      </c>
      <c r="W6" s="245"/>
      <c r="X6" s="410">
        <v>9109</v>
      </c>
      <c r="Y6" s="411">
        <v>9142</v>
      </c>
      <c r="Z6" s="411">
        <v>42879</v>
      </c>
      <c r="AA6" s="412">
        <f t="shared" ref="AA6" si="4">+Z6+Y6-X6</f>
        <v>42912</v>
      </c>
      <c r="AB6" s="245"/>
      <c r="AC6" s="410">
        <v>122690</v>
      </c>
      <c r="AD6" s="411">
        <v>123925</v>
      </c>
      <c r="AE6" s="424">
        <f>+WMT_Model!H150</f>
        <v>514405</v>
      </c>
      <c r="AF6" s="412">
        <f t="shared" ref="AF6" si="5">+AE6+AD6-AC6</f>
        <v>515640</v>
      </c>
      <c r="AH6" s="134"/>
    </row>
    <row r="7" spans="1:34" x14ac:dyDescent="0.45">
      <c r="A7" s="246"/>
      <c r="B7" s="475" t="s">
        <v>371</v>
      </c>
      <c r="C7" s="250"/>
      <c r="D7" s="415">
        <v>2091</v>
      </c>
      <c r="E7" s="416">
        <v>2562</v>
      </c>
      <c r="F7" s="416">
        <v>3134</v>
      </c>
      <c r="G7" s="417">
        <f>F7+E7-D7</f>
        <v>3605</v>
      </c>
      <c r="H7" s="245"/>
      <c r="I7" s="415">
        <v>2170</v>
      </c>
      <c r="J7" s="416">
        <v>2279</v>
      </c>
      <c r="K7" s="416">
        <v>5024</v>
      </c>
      <c r="L7" s="417">
        <f>+K7+J7-I7</f>
        <v>5133</v>
      </c>
      <c r="M7" s="245"/>
      <c r="N7" s="415">
        <v>2026</v>
      </c>
      <c r="O7" s="416">
        <v>772</v>
      </c>
      <c r="P7" s="416">
        <v>3110</v>
      </c>
      <c r="Q7" s="417">
        <f>+P7+O7-N7</f>
        <v>1856</v>
      </c>
      <c r="R7" s="245"/>
      <c r="S7" s="415">
        <v>718</v>
      </c>
      <c r="T7" s="416">
        <v>795</v>
      </c>
      <c r="U7" s="416">
        <v>2937</v>
      </c>
      <c r="V7" s="417">
        <f>+U7+T7-S7</f>
        <v>3014</v>
      </c>
      <c r="W7" s="245"/>
      <c r="X7" s="415">
        <v>208</v>
      </c>
      <c r="Y7" s="416">
        <v>265</v>
      </c>
      <c r="Z7" s="416">
        <v>1464</v>
      </c>
      <c r="AA7" s="417">
        <f>+Z7+Y7-X7</f>
        <v>1521</v>
      </c>
      <c r="AB7" s="245"/>
      <c r="AC7" s="415">
        <v>2134</v>
      </c>
      <c r="AD7" s="416">
        <v>3842</v>
      </c>
      <c r="AE7" s="425">
        <f>+WMT_Model!H168</f>
        <v>6670</v>
      </c>
      <c r="AF7" s="417">
        <f>+AE7+AD7-AC7</f>
        <v>8378</v>
      </c>
    </row>
    <row r="8" spans="1:34" x14ac:dyDescent="0.45">
      <c r="A8" s="246"/>
      <c r="B8" s="245"/>
      <c r="C8" s="245"/>
      <c r="D8" s="415"/>
      <c r="E8" s="416"/>
      <c r="F8" s="416"/>
      <c r="G8" s="417"/>
      <c r="H8" s="245"/>
      <c r="I8" s="415"/>
      <c r="J8" s="416"/>
      <c r="K8" s="416"/>
      <c r="L8" s="417"/>
      <c r="M8" s="245"/>
      <c r="N8" s="415"/>
      <c r="O8" s="416"/>
      <c r="P8" s="416"/>
      <c r="Q8" s="417"/>
      <c r="R8" s="245"/>
      <c r="S8" s="415"/>
      <c r="T8" s="416"/>
      <c r="U8" s="416"/>
      <c r="V8" s="417"/>
      <c r="W8" s="245"/>
      <c r="X8" s="415"/>
      <c r="Y8" s="416"/>
      <c r="Z8" s="416"/>
      <c r="AA8" s="417"/>
      <c r="AB8" s="245"/>
      <c r="AC8" s="415"/>
      <c r="AD8" s="416"/>
      <c r="AE8" s="416"/>
      <c r="AF8" s="417"/>
      <c r="AH8" s="134"/>
    </row>
    <row r="9" spans="1:34" x14ac:dyDescent="0.45">
      <c r="A9" s="246"/>
      <c r="B9" s="473" t="s">
        <v>372</v>
      </c>
      <c r="C9" s="245"/>
      <c r="D9" s="415">
        <v>3034</v>
      </c>
      <c r="E9" s="416">
        <v>3274</v>
      </c>
      <c r="F9" s="416">
        <v>4480</v>
      </c>
      <c r="G9" s="417">
        <f t="shared" si="0"/>
        <v>4720</v>
      </c>
      <c r="H9" s="245"/>
      <c r="I9" s="521">
        <f>3296+90</f>
        <v>3386</v>
      </c>
      <c r="J9" s="422">
        <f>2918+121</f>
        <v>3039</v>
      </c>
      <c r="K9" s="422">
        <f>6414+191</f>
        <v>6605</v>
      </c>
      <c r="L9" s="417">
        <f t="shared" si="1"/>
        <v>6258</v>
      </c>
      <c r="M9" s="245"/>
      <c r="N9" s="415">
        <v>1029</v>
      </c>
      <c r="O9" s="416">
        <v>901</v>
      </c>
      <c r="P9" s="416">
        <v>2614</v>
      </c>
      <c r="Q9" s="417">
        <f t="shared" si="2"/>
        <v>2486</v>
      </c>
      <c r="R9" s="245"/>
      <c r="S9" s="415">
        <v>1041</v>
      </c>
      <c r="T9" s="416">
        <v>1135</v>
      </c>
      <c r="U9" s="416">
        <v>4110</v>
      </c>
      <c r="V9" s="417">
        <f t="shared" ref="V9:V11" si="6">+U9+T9-S9</f>
        <v>4204</v>
      </c>
      <c r="W9" s="245"/>
      <c r="X9" s="415">
        <v>265</v>
      </c>
      <c r="Y9" s="416">
        <v>334</v>
      </c>
      <c r="Z9" s="416">
        <v>1900</v>
      </c>
      <c r="AA9" s="417">
        <f t="shared" ref="AA9:AA11" si="7">+Z9+Y9-X9</f>
        <v>1969</v>
      </c>
      <c r="AB9" s="245"/>
      <c r="AC9" s="415">
        <v>5154</v>
      </c>
      <c r="AD9" s="416">
        <v>4945</v>
      </c>
      <c r="AE9" s="425">
        <f>+WMT_Model!H153</f>
        <v>21957</v>
      </c>
      <c r="AF9" s="417">
        <f t="shared" ref="AF9:AF11" si="8">+AE9+AD9-AC9</f>
        <v>21748</v>
      </c>
    </row>
    <row r="10" spans="1:34" x14ac:dyDescent="0.45">
      <c r="A10" s="246"/>
      <c r="B10" s="250" t="s">
        <v>175</v>
      </c>
      <c r="C10" s="250"/>
      <c r="D10" s="415">
        <v>0</v>
      </c>
      <c r="E10" s="416">
        <v>0</v>
      </c>
      <c r="F10" s="416">
        <v>0</v>
      </c>
      <c r="G10" s="417">
        <f t="shared" si="0"/>
        <v>0</v>
      </c>
      <c r="H10" s="245"/>
      <c r="I10" s="415">
        <v>0</v>
      </c>
      <c r="J10" s="416">
        <v>0</v>
      </c>
      <c r="K10" s="416">
        <v>0</v>
      </c>
      <c r="L10" s="417">
        <f t="shared" si="1"/>
        <v>0</v>
      </c>
      <c r="M10" s="245"/>
      <c r="N10" s="415">
        <v>0</v>
      </c>
      <c r="O10" s="416">
        <v>0</v>
      </c>
      <c r="P10" s="416">
        <v>0</v>
      </c>
      <c r="Q10" s="417">
        <f t="shared" si="2"/>
        <v>0</v>
      </c>
      <c r="R10" s="245"/>
      <c r="S10" s="415">
        <v>0</v>
      </c>
      <c r="T10" s="416">
        <v>0</v>
      </c>
      <c r="U10" s="416">
        <v>0</v>
      </c>
      <c r="V10" s="417">
        <f t="shared" si="6"/>
        <v>0</v>
      </c>
      <c r="W10" s="245"/>
      <c r="X10" s="415">
        <v>0</v>
      </c>
      <c r="Y10" s="416">
        <v>0</v>
      </c>
      <c r="Z10" s="416">
        <v>0</v>
      </c>
      <c r="AA10" s="417">
        <f t="shared" si="7"/>
        <v>0</v>
      </c>
      <c r="AB10" s="245"/>
      <c r="AC10" s="415">
        <v>0</v>
      </c>
      <c r="AD10" s="416">
        <v>0</v>
      </c>
      <c r="AE10" s="416">
        <v>0</v>
      </c>
      <c r="AF10" s="417">
        <f t="shared" si="8"/>
        <v>0</v>
      </c>
    </row>
    <row r="11" spans="1:34" x14ac:dyDescent="0.45">
      <c r="A11" s="246"/>
      <c r="B11" s="250" t="s">
        <v>150</v>
      </c>
      <c r="C11" s="250"/>
      <c r="D11" s="415">
        <v>1006</v>
      </c>
      <c r="E11" s="416">
        <v>1019</v>
      </c>
      <c r="F11" s="416">
        <v>1437</v>
      </c>
      <c r="G11" s="417">
        <f t="shared" si="0"/>
        <v>1450</v>
      </c>
      <c r="H11" s="245"/>
      <c r="I11" s="415">
        <v>858</v>
      </c>
      <c r="J11" s="416">
        <v>990</v>
      </c>
      <c r="K11" s="416">
        <v>1770</v>
      </c>
      <c r="L11" s="417">
        <f t="shared" si="1"/>
        <v>1902</v>
      </c>
      <c r="M11" s="245"/>
      <c r="N11" s="415">
        <v>741</v>
      </c>
      <c r="O11" s="416">
        <v>779</v>
      </c>
      <c r="P11" s="416">
        <v>2465</v>
      </c>
      <c r="Q11" s="417">
        <f t="shared" si="2"/>
        <v>2503</v>
      </c>
      <c r="R11" s="245"/>
      <c r="S11" s="415">
        <v>631</v>
      </c>
      <c r="T11" s="416">
        <v>644</v>
      </c>
      <c r="U11" s="416">
        <v>2474</v>
      </c>
      <c r="V11" s="417">
        <f t="shared" si="6"/>
        <v>2487</v>
      </c>
      <c r="W11" s="245"/>
      <c r="X11" s="415">
        <v>176</v>
      </c>
      <c r="Y11" s="416">
        <v>200</v>
      </c>
      <c r="Z11" s="416">
        <v>770</v>
      </c>
      <c r="AA11" s="417">
        <f t="shared" si="7"/>
        <v>794</v>
      </c>
      <c r="AB11" s="245"/>
      <c r="AC11" s="415">
        <v>2678</v>
      </c>
      <c r="AD11" s="416">
        <v>2714</v>
      </c>
      <c r="AE11" s="425">
        <f>+WMT_Model!H222</f>
        <v>10678</v>
      </c>
      <c r="AF11" s="417">
        <f t="shared" si="8"/>
        <v>10714</v>
      </c>
    </row>
    <row r="12" spans="1:34" x14ac:dyDescent="0.45">
      <c r="A12" s="246"/>
      <c r="B12" s="179" t="s">
        <v>373</v>
      </c>
      <c r="C12" s="251"/>
      <c r="D12" s="413"/>
      <c r="E12" s="404"/>
      <c r="F12" s="404"/>
      <c r="G12" s="414">
        <f>SUM(G9:G11)</f>
        <v>6170</v>
      </c>
      <c r="H12" s="245"/>
      <c r="I12" s="413"/>
      <c r="J12" s="404"/>
      <c r="K12" s="404"/>
      <c r="L12" s="414">
        <f>SUM(L9:L11)</f>
        <v>8160</v>
      </c>
      <c r="M12" s="245"/>
      <c r="N12" s="413"/>
      <c r="O12" s="404"/>
      <c r="P12" s="404"/>
      <c r="Q12" s="414">
        <f>SUM(Q9:Q11)</f>
        <v>4989</v>
      </c>
      <c r="R12" s="245"/>
      <c r="S12" s="413"/>
      <c r="T12" s="404"/>
      <c r="U12" s="404"/>
      <c r="V12" s="414">
        <f>SUM(V9:V11)</f>
        <v>6691</v>
      </c>
      <c r="W12" s="245"/>
      <c r="X12" s="413"/>
      <c r="Y12" s="404"/>
      <c r="Z12" s="404"/>
      <c r="AA12" s="414">
        <f>SUM(AA9:AA11)</f>
        <v>2763</v>
      </c>
      <c r="AB12" s="245"/>
      <c r="AC12" s="413"/>
      <c r="AD12" s="404"/>
      <c r="AE12" s="404"/>
      <c r="AF12" s="414">
        <f>SUM(AF9:AF11)</f>
        <v>32462</v>
      </c>
    </row>
    <row r="13" spans="1:34" x14ac:dyDescent="0.45">
      <c r="A13" s="246"/>
      <c r="B13" s="249"/>
      <c r="C13" s="250"/>
      <c r="D13" s="144"/>
      <c r="E13" s="145"/>
      <c r="F13" s="145"/>
      <c r="G13" s="146"/>
      <c r="H13" s="245"/>
      <c r="I13" s="144"/>
      <c r="J13" s="145"/>
      <c r="K13" s="145"/>
      <c r="L13" s="146"/>
      <c r="M13" s="245"/>
      <c r="N13" s="144"/>
      <c r="O13" s="145"/>
      <c r="P13" s="145"/>
      <c r="Q13" s="146"/>
      <c r="R13" s="245"/>
      <c r="S13" s="144"/>
      <c r="T13" s="145"/>
      <c r="U13" s="145"/>
      <c r="V13" s="146"/>
      <c r="W13" s="245"/>
      <c r="X13" s="144"/>
      <c r="Y13" s="145"/>
      <c r="Z13" s="145"/>
      <c r="AA13" s="146"/>
      <c r="AB13" s="245"/>
      <c r="AC13" s="144"/>
      <c r="AD13" s="145"/>
      <c r="AE13" s="145"/>
      <c r="AF13" s="146"/>
    </row>
    <row r="14" spans="1:34" x14ac:dyDescent="0.45">
      <c r="A14" s="246"/>
      <c r="B14" s="245" t="s">
        <v>8</v>
      </c>
      <c r="C14" s="245"/>
      <c r="D14" s="147"/>
      <c r="E14" s="148"/>
      <c r="F14" s="148"/>
      <c r="G14" s="199">
        <f>679/3273</f>
        <v>0.20745493431102963</v>
      </c>
      <c r="H14" s="245"/>
      <c r="I14" s="147"/>
      <c r="J14" s="148"/>
      <c r="K14" s="148"/>
      <c r="L14" s="199">
        <f>406/2621</f>
        <v>0.15490270888973673</v>
      </c>
      <c r="M14" s="252"/>
      <c r="N14" s="147"/>
      <c r="O14" s="148"/>
      <c r="P14" s="148"/>
      <c r="Q14" s="199">
        <f>226/989</f>
        <v>0.22851365015166836</v>
      </c>
      <c r="R14" s="245"/>
      <c r="S14" s="147"/>
      <c r="T14" s="148"/>
      <c r="U14" s="148"/>
      <c r="V14" s="199">
        <f>229/1021</f>
        <v>0.22428991185112634</v>
      </c>
      <c r="W14" s="245"/>
      <c r="X14" s="147"/>
      <c r="Y14" s="148"/>
      <c r="Z14" s="148"/>
      <c r="AA14" s="199">
        <f>65/330</f>
        <v>0.19696969696969696</v>
      </c>
      <c r="AB14" s="245"/>
      <c r="AC14" s="147"/>
      <c r="AD14" s="148"/>
      <c r="AE14" s="148"/>
      <c r="AF14" s="426">
        <f>Tax_Rate</f>
        <v>0.2425828970331588</v>
      </c>
    </row>
    <row r="15" spans="1:34" x14ac:dyDescent="0.45">
      <c r="A15" s="246"/>
      <c r="B15" s="245"/>
      <c r="C15" s="245"/>
      <c r="D15" s="253"/>
      <c r="E15" s="245"/>
      <c r="F15" s="254"/>
      <c r="G15" s="255"/>
      <c r="H15" s="245"/>
      <c r="I15" s="253"/>
      <c r="J15" s="245"/>
      <c r="K15" s="254"/>
      <c r="L15" s="255"/>
      <c r="M15" s="245"/>
      <c r="N15" s="253"/>
      <c r="O15" s="245"/>
      <c r="P15" s="254"/>
      <c r="Q15" s="255"/>
      <c r="R15" s="245"/>
      <c r="S15" s="253"/>
      <c r="T15" s="245"/>
      <c r="U15" s="254"/>
      <c r="V15" s="255"/>
      <c r="W15" s="245"/>
      <c r="X15" s="253"/>
      <c r="Y15" s="245"/>
      <c r="Z15" s="254"/>
      <c r="AA15" s="255"/>
      <c r="AB15" s="245"/>
      <c r="AC15" s="253"/>
      <c r="AD15" s="245"/>
      <c r="AE15" s="254"/>
      <c r="AF15" s="255"/>
    </row>
    <row r="16" spans="1:34" x14ac:dyDescent="0.45">
      <c r="A16" s="246"/>
      <c r="B16" s="250"/>
      <c r="C16" s="250"/>
      <c r="D16" s="182" t="s">
        <v>152</v>
      </c>
      <c r="E16" s="180"/>
      <c r="F16" s="180"/>
      <c r="G16" s="181"/>
      <c r="H16" s="245"/>
      <c r="I16" s="182" t="s">
        <v>152</v>
      </c>
      <c r="J16" s="180"/>
      <c r="K16" s="180"/>
      <c r="L16" s="181"/>
      <c r="M16" s="245"/>
      <c r="N16" s="182" t="s">
        <v>152</v>
      </c>
      <c r="O16" s="180"/>
      <c r="P16" s="180"/>
      <c r="Q16" s="181"/>
      <c r="R16" s="245"/>
      <c r="S16" s="182" t="s">
        <v>152</v>
      </c>
      <c r="T16" s="180"/>
      <c r="U16" s="180"/>
      <c r="V16" s="181"/>
      <c r="W16" s="245"/>
      <c r="X16" s="182" t="s">
        <v>152</v>
      </c>
      <c r="Y16" s="180"/>
      <c r="Z16" s="180"/>
      <c r="AA16" s="181"/>
      <c r="AB16" s="245"/>
      <c r="AC16" s="182" t="s">
        <v>152</v>
      </c>
      <c r="AD16" s="180"/>
      <c r="AE16" s="180"/>
      <c r="AF16" s="181"/>
    </row>
    <row r="17" spans="1:34" x14ac:dyDescent="0.45">
      <c r="A17" s="246"/>
      <c r="B17" s="249" t="s">
        <v>131</v>
      </c>
      <c r="C17" s="249"/>
      <c r="D17" s="149"/>
      <c r="E17" s="256"/>
      <c r="F17" s="256"/>
      <c r="G17" s="406">
        <f>-7013-1154</f>
        <v>-8167</v>
      </c>
      <c r="H17" s="245"/>
      <c r="I17" s="149"/>
      <c r="J17" s="256"/>
      <c r="K17" s="256"/>
      <c r="L17" s="407">
        <v>-818</v>
      </c>
      <c r="M17" s="245"/>
      <c r="N17" s="149"/>
      <c r="O17" s="256"/>
      <c r="P17" s="256"/>
      <c r="Q17" s="406">
        <f>-365-44</f>
        <v>-409</v>
      </c>
      <c r="R17" s="245"/>
      <c r="S17" s="149"/>
      <c r="T17" s="256"/>
      <c r="U17" s="256"/>
      <c r="V17" s="407">
        <v>-1173</v>
      </c>
      <c r="W17" s="245"/>
      <c r="X17" s="149"/>
      <c r="Y17" s="256"/>
      <c r="Z17" s="256"/>
      <c r="AA17" s="407">
        <v>-1561</v>
      </c>
      <c r="AB17" s="245"/>
      <c r="AC17" s="149"/>
      <c r="AD17" s="256"/>
      <c r="AE17" s="256"/>
      <c r="AF17" s="407">
        <v>-9255</v>
      </c>
    </row>
    <row r="18" spans="1:34" x14ac:dyDescent="0.45">
      <c r="A18" s="246"/>
      <c r="B18" s="249" t="s">
        <v>132</v>
      </c>
      <c r="C18" s="249"/>
      <c r="D18" s="149"/>
      <c r="E18" s="256"/>
      <c r="F18" s="256"/>
      <c r="G18" s="409">
        <v>0</v>
      </c>
      <c r="H18" s="245"/>
      <c r="I18" s="149"/>
      <c r="J18" s="256"/>
      <c r="K18" s="256"/>
      <c r="L18" s="409">
        <v>-6683</v>
      </c>
      <c r="M18" s="245"/>
      <c r="N18" s="149"/>
      <c r="O18" s="256"/>
      <c r="P18" s="256"/>
      <c r="Q18" s="409">
        <f>-620-106</f>
        <v>-726</v>
      </c>
      <c r="R18" s="245"/>
      <c r="S18" s="149"/>
      <c r="T18" s="256"/>
      <c r="U18" s="256"/>
      <c r="V18" s="409">
        <v>0</v>
      </c>
      <c r="W18" s="245"/>
      <c r="X18" s="149"/>
      <c r="Y18" s="256"/>
      <c r="Z18" s="256"/>
      <c r="AA18" s="409">
        <v>0</v>
      </c>
      <c r="AB18" s="245"/>
      <c r="AC18" s="149"/>
      <c r="AD18" s="256"/>
      <c r="AE18" s="256"/>
      <c r="AF18" s="409">
        <v>-4366</v>
      </c>
    </row>
    <row r="19" spans="1:34" x14ac:dyDescent="0.45">
      <c r="A19" s="246"/>
      <c r="B19" s="249" t="s">
        <v>133</v>
      </c>
      <c r="C19" s="249"/>
      <c r="D19" s="149"/>
      <c r="E19" s="256"/>
      <c r="F19" s="256"/>
      <c r="G19" s="409">
        <v>0</v>
      </c>
      <c r="H19" s="245"/>
      <c r="I19" s="149"/>
      <c r="J19" s="256"/>
      <c r="K19" s="256"/>
      <c r="L19" s="409">
        <v>0</v>
      </c>
      <c r="M19" s="245"/>
      <c r="N19" s="149"/>
      <c r="O19" s="256"/>
      <c r="P19" s="256"/>
      <c r="Q19" s="409">
        <v>0</v>
      </c>
      <c r="R19" s="245"/>
      <c r="S19" s="149"/>
      <c r="T19" s="256"/>
      <c r="U19" s="256"/>
      <c r="V19" s="409">
        <v>0</v>
      </c>
      <c r="W19" s="245"/>
      <c r="X19" s="149"/>
      <c r="Y19" s="256"/>
      <c r="Z19" s="256"/>
      <c r="AA19" s="409">
        <v>0</v>
      </c>
      <c r="AB19" s="245"/>
      <c r="AC19" s="149"/>
      <c r="AD19" s="256"/>
      <c r="AE19" s="256"/>
      <c r="AF19" s="409">
        <v>0</v>
      </c>
    </row>
    <row r="20" spans="1:34" x14ac:dyDescent="0.45">
      <c r="A20" s="246"/>
      <c r="B20" s="249" t="s">
        <v>134</v>
      </c>
      <c r="C20" s="249"/>
      <c r="D20" s="149"/>
      <c r="E20" s="256"/>
      <c r="F20" s="256"/>
      <c r="G20" s="409">
        <v>0</v>
      </c>
      <c r="H20" s="245"/>
      <c r="I20" s="149"/>
      <c r="J20" s="256"/>
      <c r="K20" s="256"/>
      <c r="L20" s="409">
        <v>0</v>
      </c>
      <c r="M20" s="245"/>
      <c r="N20" s="149"/>
      <c r="O20" s="256"/>
      <c r="P20" s="256"/>
      <c r="Q20" s="408">
        <f>-110*(1-54/637)</f>
        <v>-100.67503924646782</v>
      </c>
      <c r="R20" s="245"/>
      <c r="S20" s="149"/>
      <c r="T20" s="256"/>
      <c r="U20" s="256"/>
      <c r="V20" s="409">
        <v>0</v>
      </c>
      <c r="W20" s="245"/>
      <c r="X20" s="149"/>
      <c r="Y20" s="256"/>
      <c r="Z20" s="256"/>
      <c r="AA20" s="408">
        <f>-134*(328/419)</f>
        <v>-104.89737470167066</v>
      </c>
      <c r="AB20" s="245"/>
      <c r="AC20" s="149"/>
      <c r="AD20" s="256"/>
      <c r="AE20" s="256"/>
      <c r="AF20" s="408">
        <f>-2964*(4027/6475)</f>
        <v>-1843.4020077220077</v>
      </c>
      <c r="AH20" s="134"/>
    </row>
    <row r="21" spans="1:34" x14ac:dyDescent="0.45">
      <c r="A21" s="246"/>
      <c r="B21" s="522" t="s">
        <v>410</v>
      </c>
      <c r="C21" s="249"/>
      <c r="D21" s="149"/>
      <c r="E21" s="256"/>
      <c r="F21" s="256"/>
      <c r="G21" s="409">
        <v>6529</v>
      </c>
      <c r="H21" s="245"/>
      <c r="I21" s="149"/>
      <c r="J21" s="256"/>
      <c r="K21" s="256"/>
      <c r="L21" s="408">
        <f>5356+12685</f>
        <v>18041</v>
      </c>
      <c r="M21" s="245"/>
      <c r="N21" s="149"/>
      <c r="O21" s="256"/>
      <c r="P21" s="256"/>
      <c r="Q21" s="408">
        <f>1453+12016</f>
        <v>13469</v>
      </c>
      <c r="R21" s="245"/>
      <c r="S21" s="149"/>
      <c r="T21" s="256"/>
      <c r="U21" s="256"/>
      <c r="V21" s="408">
        <f>1056+11357</f>
        <v>12413</v>
      </c>
      <c r="W21" s="245"/>
      <c r="X21" s="149"/>
      <c r="Y21" s="256"/>
      <c r="Z21" s="256"/>
      <c r="AA21" s="408">
        <f>1173+181+39</f>
        <v>1393</v>
      </c>
      <c r="AB21" s="245"/>
      <c r="AC21" s="149"/>
      <c r="AD21" s="256"/>
      <c r="AE21" s="256"/>
      <c r="AF21" s="408">
        <f>4828+1464+435+47425+3810</f>
        <v>57962</v>
      </c>
    </row>
    <row r="22" spans="1:34" x14ac:dyDescent="0.45">
      <c r="A22" s="246"/>
      <c r="B22" s="249" t="s">
        <v>135</v>
      </c>
      <c r="C22" s="249"/>
      <c r="D22" s="149"/>
      <c r="E22" s="256"/>
      <c r="F22" s="256"/>
      <c r="G22" s="409">
        <v>0</v>
      </c>
      <c r="H22" s="245"/>
      <c r="I22" s="149"/>
      <c r="J22" s="256"/>
      <c r="K22" s="256"/>
      <c r="L22" s="409">
        <v>0</v>
      </c>
      <c r="M22" s="245"/>
      <c r="N22" s="149"/>
      <c r="O22" s="256"/>
      <c r="P22" s="256"/>
      <c r="Q22" s="409">
        <v>0</v>
      </c>
      <c r="R22" s="245"/>
      <c r="S22" s="149"/>
      <c r="T22" s="256"/>
      <c r="U22" s="256"/>
      <c r="V22" s="409">
        <v>0</v>
      </c>
      <c r="W22" s="245"/>
      <c r="X22" s="149"/>
      <c r="Y22" s="256"/>
      <c r="Z22" s="256"/>
      <c r="AA22" s="409">
        <v>0</v>
      </c>
      <c r="AB22" s="245"/>
      <c r="AC22" s="149"/>
      <c r="AD22" s="256"/>
      <c r="AE22" s="256"/>
      <c r="AF22" s="409">
        <v>0</v>
      </c>
      <c r="AH22" s="134"/>
    </row>
    <row r="23" spans="1:34" x14ac:dyDescent="0.45">
      <c r="A23" s="246"/>
      <c r="B23" s="249" t="s">
        <v>136</v>
      </c>
      <c r="C23" s="249"/>
      <c r="D23" s="149"/>
      <c r="E23" s="256"/>
      <c r="F23" s="257"/>
      <c r="G23" s="409">
        <v>334</v>
      </c>
      <c r="H23" s="258"/>
      <c r="I23" s="149"/>
      <c r="J23" s="256"/>
      <c r="K23" s="257"/>
      <c r="L23" s="409">
        <v>643</v>
      </c>
      <c r="M23" s="245"/>
      <c r="N23" s="149"/>
      <c r="O23" s="256"/>
      <c r="P23" s="257"/>
      <c r="Q23" s="409">
        <v>-51</v>
      </c>
      <c r="R23" s="245"/>
      <c r="S23" s="149"/>
      <c r="T23" s="256"/>
      <c r="U23" s="257"/>
      <c r="V23" s="409">
        <v>0</v>
      </c>
      <c r="W23" s="245"/>
      <c r="X23" s="149"/>
      <c r="Y23" s="256"/>
      <c r="Z23" s="257"/>
      <c r="AA23" s="409">
        <v>0</v>
      </c>
      <c r="AB23" s="245"/>
      <c r="AC23" s="149"/>
      <c r="AD23" s="256"/>
      <c r="AE23" s="257"/>
      <c r="AF23" s="409">
        <v>6705</v>
      </c>
    </row>
    <row r="24" spans="1:34" x14ac:dyDescent="0.45">
      <c r="A24" s="246"/>
      <c r="B24" s="249" t="s">
        <v>137</v>
      </c>
      <c r="C24" s="249"/>
      <c r="D24" s="149"/>
      <c r="E24" s="256"/>
      <c r="F24" s="256"/>
      <c r="G24" s="409">
        <v>0</v>
      </c>
      <c r="H24" s="245"/>
      <c r="I24" s="149"/>
      <c r="J24" s="256"/>
      <c r="K24" s="256"/>
      <c r="L24" s="409">
        <v>0</v>
      </c>
      <c r="M24" s="245"/>
      <c r="N24" s="149"/>
      <c r="O24" s="256"/>
      <c r="P24" s="256"/>
      <c r="Q24" s="408">
        <f>298+200</f>
        <v>498</v>
      </c>
      <c r="R24" s="245"/>
      <c r="S24" s="149"/>
      <c r="T24" s="256"/>
      <c r="U24" s="256"/>
      <c r="V24" s="409">
        <v>33</v>
      </c>
      <c r="W24" s="245"/>
      <c r="X24" s="149"/>
      <c r="Y24" s="256"/>
      <c r="Z24" s="256"/>
      <c r="AA24" s="409">
        <v>0</v>
      </c>
      <c r="AB24" s="245"/>
      <c r="AC24" s="149"/>
      <c r="AD24" s="256"/>
      <c r="AE24" s="256"/>
      <c r="AF24" s="409">
        <v>175</v>
      </c>
    </row>
    <row r="25" spans="1:34" x14ac:dyDescent="0.45">
      <c r="A25" s="246"/>
      <c r="B25" s="249" t="s">
        <v>138</v>
      </c>
      <c r="C25" s="249"/>
      <c r="D25" s="150"/>
      <c r="E25" s="259"/>
      <c r="F25" s="259"/>
      <c r="G25" s="409">
        <v>0</v>
      </c>
      <c r="H25" s="245"/>
      <c r="I25" s="150"/>
      <c r="J25" s="259"/>
      <c r="K25" s="259"/>
      <c r="L25" s="409">
        <v>0</v>
      </c>
      <c r="M25" s="245"/>
      <c r="N25" s="150"/>
      <c r="O25" s="259"/>
      <c r="P25" s="259"/>
      <c r="Q25" s="409">
        <v>0</v>
      </c>
      <c r="R25" s="245"/>
      <c r="S25" s="150"/>
      <c r="T25" s="259"/>
      <c r="U25" s="259"/>
      <c r="V25" s="409">
        <v>0</v>
      </c>
      <c r="W25" s="245"/>
      <c r="X25" s="150"/>
      <c r="Y25" s="259"/>
      <c r="Z25" s="259"/>
      <c r="AA25" s="409">
        <v>0</v>
      </c>
      <c r="AB25" s="245"/>
      <c r="AC25" s="150"/>
      <c r="AD25" s="259"/>
      <c r="AE25" s="259"/>
      <c r="AF25" s="409">
        <v>0</v>
      </c>
    </row>
    <row r="26" spans="1:34" x14ac:dyDescent="0.45">
      <c r="A26" s="246"/>
      <c r="B26" s="245"/>
      <c r="C26" s="245"/>
      <c r="D26" s="260"/>
      <c r="E26" s="245"/>
      <c r="F26" s="245"/>
      <c r="G26" s="261"/>
      <c r="H26" s="245"/>
      <c r="I26" s="260"/>
      <c r="J26" s="245"/>
      <c r="K26" s="245"/>
      <c r="L26" s="261"/>
      <c r="M26" s="245"/>
      <c r="N26" s="260"/>
      <c r="O26" s="245"/>
      <c r="P26" s="245"/>
      <c r="Q26" s="261"/>
      <c r="R26" s="245"/>
      <c r="S26" s="260"/>
      <c r="T26" s="245"/>
      <c r="U26" s="245"/>
      <c r="V26" s="261"/>
      <c r="W26" s="245"/>
      <c r="X26" s="260"/>
      <c r="Y26" s="245"/>
      <c r="Z26" s="245"/>
      <c r="AA26" s="261"/>
      <c r="AB26" s="245"/>
      <c r="AC26" s="260"/>
      <c r="AD26" s="245"/>
      <c r="AE26" s="245"/>
      <c r="AF26" s="261"/>
    </row>
    <row r="27" spans="1:34" x14ac:dyDescent="0.45">
      <c r="A27" s="246"/>
      <c r="B27" s="245"/>
      <c r="C27" s="245"/>
      <c r="D27" s="182" t="s">
        <v>151</v>
      </c>
      <c r="E27" s="192"/>
      <c r="F27" s="192"/>
      <c r="G27" s="193"/>
      <c r="H27" s="245"/>
      <c r="I27" s="182" t="s">
        <v>151</v>
      </c>
      <c r="J27" s="192"/>
      <c r="K27" s="192"/>
      <c r="L27" s="193"/>
      <c r="M27" s="245"/>
      <c r="N27" s="182" t="s">
        <v>151</v>
      </c>
      <c r="O27" s="192"/>
      <c r="P27" s="192"/>
      <c r="Q27" s="193"/>
      <c r="R27" s="245"/>
      <c r="S27" s="182" t="s">
        <v>151</v>
      </c>
      <c r="T27" s="192"/>
      <c r="U27" s="192"/>
      <c r="V27" s="193"/>
      <c r="W27" s="245"/>
      <c r="X27" s="182" t="s">
        <v>151</v>
      </c>
      <c r="Y27" s="192"/>
      <c r="Z27" s="192"/>
      <c r="AA27" s="193"/>
      <c r="AB27" s="245"/>
      <c r="AC27" s="182" t="s">
        <v>151</v>
      </c>
      <c r="AD27" s="192"/>
      <c r="AE27" s="192"/>
      <c r="AF27" s="193"/>
    </row>
    <row r="28" spans="1:34" x14ac:dyDescent="0.45">
      <c r="A28" s="246"/>
      <c r="B28" s="245"/>
      <c r="C28" s="245"/>
      <c r="D28" s="184">
        <f>Forward_Year_1</f>
        <v>43861</v>
      </c>
      <c r="E28" s="185">
        <f>Forward_Year_2</f>
        <v>44227</v>
      </c>
      <c r="F28" s="185">
        <f>Forward_Year_3</f>
        <v>44592</v>
      </c>
      <c r="G28" s="262"/>
      <c r="H28" s="245"/>
      <c r="I28" s="184">
        <f>Forward_Year_1</f>
        <v>43861</v>
      </c>
      <c r="J28" s="185">
        <f>Forward_Year_2</f>
        <v>44227</v>
      </c>
      <c r="K28" s="185">
        <f>Forward_Year_3</f>
        <v>44592</v>
      </c>
      <c r="L28" s="262"/>
      <c r="M28" s="245"/>
      <c r="N28" s="184">
        <f>Forward_Year_1</f>
        <v>43861</v>
      </c>
      <c r="O28" s="185">
        <f>Forward_Year_2</f>
        <v>44227</v>
      </c>
      <c r="P28" s="185">
        <f>Forward_Year_3</f>
        <v>44592</v>
      </c>
      <c r="Q28" s="262"/>
      <c r="R28" s="245"/>
      <c r="S28" s="184">
        <f>Forward_Year_1</f>
        <v>43861</v>
      </c>
      <c r="T28" s="185">
        <f>Forward_Year_2</f>
        <v>44227</v>
      </c>
      <c r="U28" s="185">
        <f>Forward_Year_3</f>
        <v>44592</v>
      </c>
      <c r="V28" s="262"/>
      <c r="W28" s="245"/>
      <c r="X28" s="184">
        <f>Forward_Year_1</f>
        <v>43861</v>
      </c>
      <c r="Y28" s="185">
        <f>Forward_Year_2</f>
        <v>44227</v>
      </c>
      <c r="Z28" s="185">
        <f>Forward_Year_3</f>
        <v>44592</v>
      </c>
      <c r="AA28" s="262"/>
      <c r="AB28" s="245"/>
      <c r="AC28" s="184">
        <f>Forward_Year_1</f>
        <v>43861</v>
      </c>
      <c r="AD28" s="185">
        <f>Forward_Year_2</f>
        <v>44227</v>
      </c>
      <c r="AE28" s="185">
        <f>Forward_Year_3</f>
        <v>44592</v>
      </c>
      <c r="AF28" s="262"/>
    </row>
    <row r="29" spans="1:34" x14ac:dyDescent="0.45">
      <c r="A29" s="246"/>
      <c r="B29" s="250" t="s">
        <v>4</v>
      </c>
      <c r="C29" s="250"/>
      <c r="D29" s="421">
        <f>(2/3)*152793.24+(1/3)*163531.29</f>
        <v>156372.59</v>
      </c>
      <c r="E29" s="421">
        <f>(2/3)*163531.29+(1/3)*175050.44</f>
        <v>167371.00666666665</v>
      </c>
      <c r="F29" s="160"/>
      <c r="G29" s="257"/>
      <c r="H29" s="245"/>
      <c r="I29" s="421">
        <f>(2/3)*136777.74+(1/3)*139979.35</f>
        <v>137844.94333333333</v>
      </c>
      <c r="J29" s="421">
        <f>(2/3)*139979.35+(1/3)*144150.13</f>
        <v>141369.60999999999</v>
      </c>
      <c r="K29" s="160"/>
      <c r="L29" s="257"/>
      <c r="M29" s="245"/>
      <c r="N29" s="160">
        <v>122995.29</v>
      </c>
      <c r="O29" s="160">
        <v>126162.86</v>
      </c>
      <c r="P29" s="160">
        <v>129977.78</v>
      </c>
      <c r="Q29" s="257"/>
      <c r="R29" s="245"/>
      <c r="S29" s="160">
        <v>78103.89</v>
      </c>
      <c r="T29" s="160">
        <v>80472.08</v>
      </c>
      <c r="U29" s="160">
        <v>82235.92</v>
      </c>
      <c r="V29" s="257"/>
      <c r="W29" s="245"/>
      <c r="X29" s="160">
        <v>43593.08</v>
      </c>
      <c r="Y29" s="160">
        <v>44218.03</v>
      </c>
      <c r="Z29" s="160">
        <v>44813.09</v>
      </c>
      <c r="AA29" s="257"/>
      <c r="AB29" s="245"/>
      <c r="AC29" s="439">
        <f>+WMT_Model!I150</f>
        <v>526618.47038822377</v>
      </c>
      <c r="AD29" s="439">
        <f>+WMT_Model!J150</f>
        <v>546853.67361168831</v>
      </c>
      <c r="AE29" s="439">
        <f>+WMT_Model!K150</f>
        <v>564924.45042496605</v>
      </c>
      <c r="AF29" s="257"/>
      <c r="AH29" s="152"/>
    </row>
    <row r="30" spans="1:34" x14ac:dyDescent="0.45">
      <c r="A30" s="246"/>
      <c r="B30" s="250" t="s">
        <v>14</v>
      </c>
      <c r="C30" s="250"/>
      <c r="D30" s="408">
        <f>(2/3)*6389.23+(1/3)*6887.64</f>
        <v>6555.3666666666659</v>
      </c>
      <c r="E30" s="408">
        <f>(2/3)*6887.64+(1/3)*7417.63</f>
        <v>7064.3033333333333</v>
      </c>
      <c r="F30" s="409"/>
      <c r="G30" s="257"/>
      <c r="H30" s="245"/>
      <c r="I30" s="408">
        <f>(2/3)*8620.52+(1/3)*8609.94</f>
        <v>8616.9933333333338</v>
      </c>
      <c r="J30" s="408">
        <f>(2/3)*8609.94+(1/3)*8682.11</f>
        <v>8633.996666666666</v>
      </c>
      <c r="K30" s="409"/>
      <c r="L30" s="257"/>
      <c r="M30" s="245"/>
      <c r="N30" s="409">
        <v>5401.22</v>
      </c>
      <c r="O30" s="409">
        <v>5531.75</v>
      </c>
      <c r="P30" s="409">
        <v>5597.94</v>
      </c>
      <c r="Q30" s="257"/>
      <c r="R30" s="245"/>
      <c r="S30" s="409">
        <v>6707.27</v>
      </c>
      <c r="T30" s="409">
        <v>6910.57</v>
      </c>
      <c r="U30" s="409">
        <v>6737.29</v>
      </c>
      <c r="V30" s="257"/>
      <c r="W30" s="245"/>
      <c r="X30" s="409">
        <v>2816.29</v>
      </c>
      <c r="Y30" s="409">
        <v>2881.21</v>
      </c>
      <c r="Z30" s="409">
        <v>2846.58</v>
      </c>
      <c r="AA30" s="257"/>
      <c r="AB30" s="245"/>
      <c r="AC30" s="408">
        <f>+WMT_Model!I153+WMT_Model!I222</f>
        <v>32012.261824422545</v>
      </c>
      <c r="AD30" s="408">
        <f>+WMT_Model!J153+WMT_Model!J222</f>
        <v>32725.084253053607</v>
      </c>
      <c r="AE30" s="408">
        <f>+WMT_Model!K153+WMT_Model!K222</f>
        <v>33348.69321851353</v>
      </c>
      <c r="AF30" s="257"/>
      <c r="AH30" s="134"/>
    </row>
    <row r="31" spans="1:34" x14ac:dyDescent="0.45">
      <c r="A31" s="246"/>
      <c r="B31" s="250" t="s">
        <v>46</v>
      </c>
      <c r="C31" s="250"/>
      <c r="D31" s="408">
        <f>(2/3)*3571.87+(1/3)*3742.8</f>
        <v>3628.8466666666664</v>
      </c>
      <c r="E31" s="408">
        <f>(2/3)*3742.8+(1/3)*3980.86</f>
        <v>3822.1533333333332</v>
      </c>
      <c r="F31" s="409"/>
      <c r="G31" s="263"/>
      <c r="H31" s="245"/>
      <c r="I31" s="408">
        <f>(2/3)*5485.71+(1/3)*5301.31</f>
        <v>5424.2433333333338</v>
      </c>
      <c r="J31" s="408">
        <f>(2/3)*5301.31+(1/3)*5371.47</f>
        <v>5324.6966666666667</v>
      </c>
      <c r="K31" s="409"/>
      <c r="L31" s="263"/>
      <c r="M31" s="245"/>
      <c r="N31" s="409">
        <v>1747.69</v>
      </c>
      <c r="O31" s="409">
        <v>1825.89</v>
      </c>
      <c r="P31" s="409">
        <v>1830.23</v>
      </c>
      <c r="Q31" s="263"/>
      <c r="R31" s="245"/>
      <c r="S31" s="409">
        <v>3041</v>
      </c>
      <c r="T31" s="409">
        <v>3153.96</v>
      </c>
      <c r="U31" s="409">
        <v>3214.83</v>
      </c>
      <c r="V31" s="263"/>
      <c r="W31" s="245"/>
      <c r="X31" s="409">
        <v>1517.28</v>
      </c>
      <c r="Y31" s="409">
        <v>1536.64</v>
      </c>
      <c r="Z31" s="409">
        <v>1536.87</v>
      </c>
      <c r="AA31" s="263"/>
      <c r="AB31" s="245"/>
      <c r="AC31" s="437">
        <f>+WMT_Model!I168</f>
        <v>13249.83582473967</v>
      </c>
      <c r="AD31" s="437">
        <f>+WMT_Model!J168</f>
        <v>13503.543786589087</v>
      </c>
      <c r="AE31" s="437">
        <f>+WMT_Model!K168</f>
        <v>13674.474283891414</v>
      </c>
      <c r="AF31" s="263"/>
    </row>
    <row r="32" spans="1:34" x14ac:dyDescent="0.45">
      <c r="A32" s="246"/>
      <c r="B32" s="245"/>
      <c r="C32" s="245"/>
      <c r="D32" s="260"/>
      <c r="E32" s="245"/>
      <c r="F32" s="245"/>
      <c r="G32" s="261"/>
      <c r="H32" s="245"/>
      <c r="I32" s="260"/>
      <c r="J32" s="245"/>
      <c r="K32" s="245"/>
      <c r="L32" s="261"/>
      <c r="M32" s="245"/>
      <c r="N32" s="260"/>
      <c r="O32" s="245"/>
      <c r="P32" s="245"/>
      <c r="Q32" s="261"/>
      <c r="R32" s="245"/>
      <c r="S32" s="260"/>
      <c r="T32" s="245"/>
      <c r="U32" s="245"/>
      <c r="V32" s="261"/>
      <c r="W32" s="245"/>
      <c r="X32" s="260"/>
      <c r="Y32" s="245"/>
      <c r="Z32" s="245"/>
      <c r="AA32" s="261"/>
      <c r="AB32" s="245"/>
      <c r="AC32" s="260"/>
      <c r="AD32" s="245"/>
      <c r="AE32" s="245"/>
      <c r="AF32" s="261"/>
      <c r="AH32" s="134"/>
    </row>
    <row r="33" spans="1:34" x14ac:dyDescent="0.45">
      <c r="A33" s="246"/>
      <c r="B33" s="245"/>
      <c r="C33" s="245"/>
      <c r="D33" s="182" t="s">
        <v>153</v>
      </c>
      <c r="E33" s="192"/>
      <c r="F33" s="192"/>
      <c r="G33" s="193"/>
      <c r="H33" s="245"/>
      <c r="I33" s="182" t="s">
        <v>153</v>
      </c>
      <c r="J33" s="192"/>
      <c r="K33" s="192"/>
      <c r="L33" s="193"/>
      <c r="M33" s="245"/>
      <c r="N33" s="182" t="s">
        <v>153</v>
      </c>
      <c r="O33" s="192"/>
      <c r="P33" s="192"/>
      <c r="Q33" s="193"/>
      <c r="R33" s="245"/>
      <c r="S33" s="182" t="s">
        <v>153</v>
      </c>
      <c r="T33" s="192"/>
      <c r="U33" s="192"/>
      <c r="V33" s="193"/>
      <c r="W33" s="245"/>
      <c r="X33" s="182" t="s">
        <v>153</v>
      </c>
      <c r="Y33" s="192"/>
      <c r="Z33" s="192"/>
      <c r="AA33" s="193"/>
      <c r="AB33" s="245"/>
      <c r="AC33" s="182" t="s">
        <v>153</v>
      </c>
      <c r="AD33" s="192"/>
      <c r="AE33" s="192"/>
      <c r="AF33" s="193"/>
    </row>
    <row r="34" spans="1:34" x14ac:dyDescent="0.45">
      <c r="A34" s="246"/>
      <c r="B34" s="474" t="s">
        <v>369</v>
      </c>
      <c r="C34" s="250"/>
      <c r="D34" s="151"/>
      <c r="E34" s="264"/>
      <c r="F34" s="264"/>
      <c r="G34" s="153">
        <v>251.21</v>
      </c>
      <c r="H34" s="245"/>
      <c r="I34" s="151"/>
      <c r="J34" s="264"/>
      <c r="K34" s="264"/>
      <c r="L34" s="153">
        <v>50.98</v>
      </c>
      <c r="M34" s="245"/>
      <c r="N34" s="151"/>
      <c r="O34" s="264"/>
      <c r="P34" s="264"/>
      <c r="Q34" s="153">
        <v>23.7</v>
      </c>
      <c r="R34" s="245"/>
      <c r="S34" s="151"/>
      <c r="T34" s="264"/>
      <c r="U34" s="264"/>
      <c r="V34" s="153">
        <v>85.7</v>
      </c>
      <c r="W34" s="245"/>
      <c r="X34" s="151"/>
      <c r="Y34" s="264"/>
      <c r="Z34" s="264"/>
      <c r="AA34" s="153">
        <v>62.3</v>
      </c>
      <c r="AB34" s="245"/>
      <c r="AC34" s="151"/>
      <c r="AD34" s="264"/>
      <c r="AE34" s="264"/>
      <c r="AF34" s="438">
        <f>Share_Price</f>
        <v>105.110001</v>
      </c>
    </row>
    <row r="35" spans="1:34" x14ac:dyDescent="0.45">
      <c r="A35" s="246"/>
      <c r="B35" s="250" t="s">
        <v>47</v>
      </c>
      <c r="C35" s="250"/>
      <c r="D35" s="149"/>
      <c r="E35" s="256"/>
      <c r="F35" s="256"/>
      <c r="G35" s="154">
        <v>439.78918599999997</v>
      </c>
      <c r="H35" s="245"/>
      <c r="I35" s="149"/>
      <c r="J35" s="256"/>
      <c r="K35" s="256"/>
      <c r="L35" s="154">
        <v>914.29897800000003</v>
      </c>
      <c r="M35" s="245"/>
      <c r="N35" s="149"/>
      <c r="O35" s="256"/>
      <c r="P35" s="256"/>
      <c r="Q35" s="154">
        <v>798.42910900000004</v>
      </c>
      <c r="R35" s="245"/>
      <c r="S35" s="149"/>
      <c r="T35" s="256"/>
      <c r="U35" s="256"/>
      <c r="V35" s="154">
        <v>512.334476</v>
      </c>
      <c r="W35" s="245"/>
      <c r="X35" s="149"/>
      <c r="Y35" s="256"/>
      <c r="Z35" s="256"/>
      <c r="AA35" s="154">
        <v>267.04314199999999</v>
      </c>
      <c r="AB35" s="245"/>
      <c r="AC35" s="149"/>
      <c r="AD35" s="256"/>
      <c r="AE35" s="256"/>
      <c r="AF35" s="154">
        <v>2854.7221370000002</v>
      </c>
    </row>
    <row r="36" spans="1:34" x14ac:dyDescent="0.45">
      <c r="A36" s="246"/>
      <c r="B36" s="250" t="s">
        <v>48</v>
      </c>
      <c r="C36" s="250"/>
      <c r="D36" s="265"/>
      <c r="E36" s="266"/>
      <c r="F36" s="266"/>
      <c r="G36" s="267"/>
      <c r="H36" s="245"/>
      <c r="I36" s="265"/>
      <c r="J36" s="266"/>
      <c r="K36" s="266"/>
      <c r="L36" s="267"/>
      <c r="M36" s="245"/>
      <c r="N36" s="265"/>
      <c r="O36" s="266"/>
      <c r="P36" s="266"/>
      <c r="Q36" s="267"/>
      <c r="R36" s="245"/>
      <c r="S36" s="265"/>
      <c r="T36" s="266"/>
      <c r="U36" s="266"/>
      <c r="V36" s="267"/>
      <c r="W36" s="245"/>
      <c r="X36" s="265"/>
      <c r="Y36" s="266"/>
      <c r="Z36" s="266"/>
      <c r="AA36" s="267"/>
      <c r="AB36" s="245"/>
      <c r="AC36" s="265"/>
      <c r="AD36" s="266"/>
      <c r="AE36" s="266"/>
      <c r="AF36" s="267"/>
      <c r="AH36" s="134"/>
    </row>
    <row r="37" spans="1:34" x14ac:dyDescent="0.45">
      <c r="A37" s="246"/>
      <c r="B37" s="245"/>
      <c r="C37" s="245"/>
      <c r="D37" s="265"/>
      <c r="E37" s="194" t="s">
        <v>49</v>
      </c>
      <c r="F37" s="195" t="s">
        <v>50</v>
      </c>
      <c r="G37" s="196" t="s">
        <v>51</v>
      </c>
      <c r="H37" s="245"/>
      <c r="I37" s="265"/>
      <c r="J37" s="194" t="s">
        <v>49</v>
      </c>
      <c r="K37" s="195" t="s">
        <v>50</v>
      </c>
      <c r="L37" s="196" t="s">
        <v>51</v>
      </c>
      <c r="M37" s="245"/>
      <c r="N37" s="265"/>
      <c r="O37" s="194" t="s">
        <v>49</v>
      </c>
      <c r="P37" s="195" t="s">
        <v>50</v>
      </c>
      <c r="Q37" s="196" t="s">
        <v>51</v>
      </c>
      <c r="R37" s="245"/>
      <c r="S37" s="265"/>
      <c r="T37" s="194" t="s">
        <v>49</v>
      </c>
      <c r="U37" s="195" t="s">
        <v>50</v>
      </c>
      <c r="V37" s="196" t="s">
        <v>51</v>
      </c>
      <c r="W37" s="245"/>
      <c r="X37" s="265"/>
      <c r="Y37" s="194" t="s">
        <v>49</v>
      </c>
      <c r="Z37" s="195" t="s">
        <v>50</v>
      </c>
      <c r="AA37" s="196" t="s">
        <v>51</v>
      </c>
      <c r="AB37" s="245"/>
      <c r="AC37" s="265"/>
      <c r="AD37" s="194" t="s">
        <v>49</v>
      </c>
      <c r="AE37" s="195" t="s">
        <v>50</v>
      </c>
      <c r="AF37" s="196" t="s">
        <v>51</v>
      </c>
    </row>
    <row r="38" spans="1:34" x14ac:dyDescent="0.45">
      <c r="A38" s="246"/>
      <c r="B38" s="245"/>
      <c r="C38" s="245"/>
      <c r="D38" s="265"/>
      <c r="E38" s="155"/>
      <c r="F38" s="156"/>
      <c r="G38" s="268">
        <f t="shared" ref="G38:G46" si="9">IF(F38&lt;G$34,E38-((E38*F38)/G$34),0)</f>
        <v>0</v>
      </c>
      <c r="H38" s="245"/>
      <c r="I38" s="265"/>
      <c r="J38" s="155"/>
      <c r="K38" s="156"/>
      <c r="L38" s="268">
        <f>IF(K38&lt;L$34,J38-((J38*K38)/L$34),0)</f>
        <v>0</v>
      </c>
      <c r="M38" s="245"/>
      <c r="N38" s="265"/>
      <c r="O38" s="155">
        <v>22.7</v>
      </c>
      <c r="P38" s="156">
        <v>20.95</v>
      </c>
      <c r="Q38" s="268">
        <f>IF(P38&lt;Q$34,O38-((O38*P38)/Q$34),0)</f>
        <v>2.633966244725741</v>
      </c>
      <c r="R38" s="245"/>
      <c r="S38" s="265"/>
      <c r="T38" s="155">
        <v>2.0390000000000001</v>
      </c>
      <c r="U38" s="156">
        <v>55.38</v>
      </c>
      <c r="V38" s="268">
        <f>IF(U38&lt;V$34,T38-((T38*U38)/V$34),0)</f>
        <v>0.72138249708284707</v>
      </c>
      <c r="W38" s="245"/>
      <c r="X38" s="265"/>
      <c r="Y38" s="155">
        <v>2.0059999999999998</v>
      </c>
      <c r="Z38" s="156">
        <v>30.21</v>
      </c>
      <c r="AA38" s="268">
        <f>IF(Z38&lt;AA$34,Y38-((Y38*Z38)/AA$34),0)</f>
        <v>1.0332670947030496</v>
      </c>
      <c r="AB38" s="245"/>
      <c r="AC38" s="265"/>
      <c r="AD38" s="155"/>
      <c r="AE38" s="156"/>
      <c r="AF38" s="268">
        <f>IF(AE38&lt;AF$34,AD38-((AD38*AE38)/AF$34),0)</f>
        <v>0</v>
      </c>
    </row>
    <row r="39" spans="1:34" x14ac:dyDescent="0.45">
      <c r="A39" s="246"/>
      <c r="B39" s="245"/>
      <c r="C39" s="245"/>
      <c r="D39" s="265"/>
      <c r="E39" s="155"/>
      <c r="F39" s="156"/>
      <c r="G39" s="268">
        <f t="shared" si="9"/>
        <v>0</v>
      </c>
      <c r="H39" s="245"/>
      <c r="I39" s="265"/>
      <c r="J39" s="155"/>
      <c r="K39" s="156"/>
      <c r="L39" s="268">
        <f t="shared" ref="L39:L43" si="10">IF(K39&lt;L$34,J39-((J39*K39)/L$34),0)</f>
        <v>0</v>
      </c>
      <c r="M39" s="245"/>
      <c r="N39" s="265"/>
      <c r="O39" s="155"/>
      <c r="P39" s="156"/>
      <c r="Q39" s="268">
        <f t="shared" ref="Q39:Q43" si="11">IF(P39&lt;Q$34,O39-((O39*P39)/Q$34),0)</f>
        <v>0</v>
      </c>
      <c r="R39" s="245"/>
      <c r="S39" s="265"/>
      <c r="T39" s="155"/>
      <c r="U39" s="156"/>
      <c r="V39" s="268">
        <f t="shared" ref="V39:V43" si="12">IF(U39&lt;V$34,T39-((T39*U39)/V$34),0)</f>
        <v>0</v>
      </c>
      <c r="W39" s="245"/>
      <c r="X39" s="265"/>
      <c r="Y39" s="155"/>
      <c r="Z39" s="156"/>
      <c r="AA39" s="268">
        <f t="shared" ref="AA39:AA43" si="13">IF(Z39&lt;AA$34,Y39-((Y39*Z39)/AA$34),0)</f>
        <v>0</v>
      </c>
      <c r="AB39" s="245"/>
      <c r="AC39" s="265"/>
      <c r="AD39" s="155"/>
      <c r="AE39" s="156"/>
      <c r="AF39" s="268">
        <f t="shared" ref="AF39:AF43" si="14">IF(AE39&lt;AF$34,AD39-((AD39*AE39)/AF$34),0)</f>
        <v>0</v>
      </c>
      <c r="AH39" s="134"/>
    </row>
    <row r="40" spans="1:34" x14ac:dyDescent="0.45">
      <c r="A40" s="246"/>
      <c r="B40" s="245"/>
      <c r="C40" s="245"/>
      <c r="D40" s="265"/>
      <c r="E40" s="155"/>
      <c r="F40" s="156"/>
      <c r="G40" s="268">
        <f t="shared" si="9"/>
        <v>0</v>
      </c>
      <c r="H40" s="245"/>
      <c r="I40" s="265"/>
      <c r="J40" s="155"/>
      <c r="K40" s="156"/>
      <c r="L40" s="268">
        <f t="shared" si="10"/>
        <v>0</v>
      </c>
      <c r="M40" s="245"/>
      <c r="N40" s="265"/>
      <c r="O40" s="155"/>
      <c r="P40" s="156"/>
      <c r="Q40" s="268">
        <f t="shared" si="11"/>
        <v>0</v>
      </c>
      <c r="R40" s="245"/>
      <c r="S40" s="265"/>
      <c r="T40" s="155"/>
      <c r="U40" s="156"/>
      <c r="V40" s="268">
        <f t="shared" si="12"/>
        <v>0</v>
      </c>
      <c r="W40" s="245"/>
      <c r="X40" s="265"/>
      <c r="Y40" s="155"/>
      <c r="Z40" s="156"/>
      <c r="AA40" s="268">
        <f t="shared" si="13"/>
        <v>0</v>
      </c>
      <c r="AB40" s="245"/>
      <c r="AC40" s="265"/>
      <c r="AD40" s="155"/>
      <c r="AE40" s="156"/>
      <c r="AF40" s="268">
        <f t="shared" si="14"/>
        <v>0</v>
      </c>
    </row>
    <row r="41" spans="1:34" x14ac:dyDescent="0.45">
      <c r="A41" s="246"/>
      <c r="B41" s="245"/>
      <c r="C41" s="245"/>
      <c r="D41" s="265"/>
      <c r="E41" s="155"/>
      <c r="F41" s="156"/>
      <c r="G41" s="268">
        <f t="shared" si="9"/>
        <v>0</v>
      </c>
      <c r="H41" s="245"/>
      <c r="I41" s="265"/>
      <c r="J41" s="155"/>
      <c r="K41" s="156"/>
      <c r="L41" s="268">
        <f t="shared" si="10"/>
        <v>0</v>
      </c>
      <c r="M41" s="245"/>
      <c r="N41" s="265"/>
      <c r="O41" s="155"/>
      <c r="P41" s="156"/>
      <c r="Q41" s="268">
        <f t="shared" si="11"/>
        <v>0</v>
      </c>
      <c r="R41" s="245"/>
      <c r="S41" s="265"/>
      <c r="T41" s="155"/>
      <c r="U41" s="156"/>
      <c r="V41" s="268">
        <f t="shared" si="12"/>
        <v>0</v>
      </c>
      <c r="W41" s="245"/>
      <c r="X41" s="265"/>
      <c r="Y41" s="155"/>
      <c r="Z41" s="156"/>
      <c r="AA41" s="268">
        <f t="shared" si="13"/>
        <v>0</v>
      </c>
      <c r="AB41" s="245"/>
      <c r="AC41" s="265"/>
      <c r="AD41" s="155"/>
      <c r="AE41" s="156"/>
      <c r="AF41" s="268">
        <f t="shared" si="14"/>
        <v>0</v>
      </c>
    </row>
    <row r="42" spans="1:34" x14ac:dyDescent="0.45">
      <c r="A42" s="246"/>
      <c r="B42" s="245"/>
      <c r="C42" s="245"/>
      <c r="D42" s="265"/>
      <c r="E42" s="155"/>
      <c r="F42" s="156"/>
      <c r="G42" s="268">
        <f t="shared" si="9"/>
        <v>0</v>
      </c>
      <c r="H42" s="245"/>
      <c r="I42" s="265"/>
      <c r="J42" s="155"/>
      <c r="K42" s="156"/>
      <c r="L42" s="268">
        <f t="shared" si="10"/>
        <v>0</v>
      </c>
      <c r="M42" s="245"/>
      <c r="N42" s="265"/>
      <c r="O42" s="155"/>
      <c r="P42" s="156"/>
      <c r="Q42" s="268">
        <f t="shared" si="11"/>
        <v>0</v>
      </c>
      <c r="R42" s="245"/>
      <c r="S42" s="265"/>
      <c r="T42" s="155"/>
      <c r="U42" s="156"/>
      <c r="V42" s="268">
        <f t="shared" si="12"/>
        <v>0</v>
      </c>
      <c r="W42" s="245"/>
      <c r="X42" s="265"/>
      <c r="Y42" s="155"/>
      <c r="Z42" s="156"/>
      <c r="AA42" s="268">
        <f t="shared" si="13"/>
        <v>0</v>
      </c>
      <c r="AB42" s="245"/>
      <c r="AC42" s="265"/>
      <c r="AD42" s="155"/>
      <c r="AE42" s="156"/>
      <c r="AF42" s="268">
        <f t="shared" si="14"/>
        <v>0</v>
      </c>
    </row>
    <row r="43" spans="1:34" x14ac:dyDescent="0.45">
      <c r="A43" s="246"/>
      <c r="B43" s="245"/>
      <c r="C43" s="245"/>
      <c r="D43" s="265"/>
      <c r="E43" s="155"/>
      <c r="F43" s="156"/>
      <c r="G43" s="268">
        <f t="shared" si="9"/>
        <v>0</v>
      </c>
      <c r="H43" s="245"/>
      <c r="I43" s="265"/>
      <c r="J43" s="155"/>
      <c r="K43" s="156"/>
      <c r="L43" s="268">
        <f t="shared" si="10"/>
        <v>0</v>
      </c>
      <c r="M43" s="245"/>
      <c r="N43" s="265"/>
      <c r="O43" s="155"/>
      <c r="P43" s="156"/>
      <c r="Q43" s="268">
        <f t="shared" si="11"/>
        <v>0</v>
      </c>
      <c r="R43" s="245"/>
      <c r="S43" s="265"/>
      <c r="T43" s="155"/>
      <c r="U43" s="156"/>
      <c r="V43" s="268">
        <f t="shared" si="12"/>
        <v>0</v>
      </c>
      <c r="W43" s="245"/>
      <c r="X43" s="265"/>
      <c r="Y43" s="155"/>
      <c r="Z43" s="156"/>
      <c r="AA43" s="268">
        <f t="shared" si="13"/>
        <v>0</v>
      </c>
      <c r="AB43" s="245"/>
      <c r="AC43" s="265"/>
      <c r="AD43" s="155"/>
      <c r="AE43" s="156"/>
      <c r="AF43" s="268">
        <f t="shared" si="14"/>
        <v>0</v>
      </c>
    </row>
    <row r="44" spans="1:34" x14ac:dyDescent="0.45">
      <c r="A44" s="246"/>
      <c r="B44" s="245"/>
      <c r="C44" s="245"/>
      <c r="D44" s="265"/>
      <c r="E44" s="155"/>
      <c r="F44" s="156"/>
      <c r="G44" s="268">
        <f t="shared" si="9"/>
        <v>0</v>
      </c>
      <c r="H44" s="245"/>
      <c r="I44" s="265"/>
      <c r="J44" s="155"/>
      <c r="K44" s="156"/>
      <c r="L44" s="268">
        <f>IF(K44&lt;L$34,J44-((J44*K44)/L$34),0)</f>
        <v>0</v>
      </c>
      <c r="M44" s="245"/>
      <c r="N44" s="265"/>
      <c r="O44" s="155"/>
      <c r="P44" s="156"/>
      <c r="Q44" s="268">
        <f>IF(P44&lt;Q$34,O44-((O44*P44)/Q$34),0)</f>
        <v>0</v>
      </c>
      <c r="R44" s="245"/>
      <c r="S44" s="265"/>
      <c r="T44" s="155"/>
      <c r="U44" s="156"/>
      <c r="V44" s="268">
        <f>IF(U44&lt;V$34,T44-((T44*U44)/V$34),0)</f>
        <v>0</v>
      </c>
      <c r="W44" s="245"/>
      <c r="X44" s="265"/>
      <c r="Y44" s="155"/>
      <c r="Z44" s="156"/>
      <c r="AA44" s="268">
        <f>IF(Z44&lt;AA$34,Y44-((Y44*Z44)/AA$34),0)</f>
        <v>0</v>
      </c>
      <c r="AB44" s="245"/>
      <c r="AC44" s="265"/>
      <c r="AD44" s="155"/>
      <c r="AE44" s="156"/>
      <c r="AF44" s="268">
        <f>IF(AE44&lt;AF$34,AD44-((AD44*AE44)/AF$34),0)</f>
        <v>0</v>
      </c>
    </row>
    <row r="45" spans="1:34" x14ac:dyDescent="0.45">
      <c r="A45" s="246"/>
      <c r="B45" s="245"/>
      <c r="C45" s="245"/>
      <c r="D45" s="265"/>
      <c r="E45" s="155"/>
      <c r="F45" s="156"/>
      <c r="G45" s="268">
        <f t="shared" si="9"/>
        <v>0</v>
      </c>
      <c r="H45" s="245"/>
      <c r="I45" s="265"/>
      <c r="J45" s="155"/>
      <c r="K45" s="156"/>
      <c r="L45" s="268">
        <f t="shared" ref="L45:L46" si="15">IF(K45&lt;L$34,J45-((J45*K45)/L$34),0)</f>
        <v>0</v>
      </c>
      <c r="M45" s="245"/>
      <c r="N45" s="265"/>
      <c r="O45" s="155"/>
      <c r="P45" s="156"/>
      <c r="Q45" s="268">
        <f t="shared" ref="Q45:Q46" si="16">IF(P45&lt;Q$34,O45-((O45*P45)/Q$34),0)</f>
        <v>0</v>
      </c>
      <c r="R45" s="245"/>
      <c r="S45" s="265"/>
      <c r="T45" s="155"/>
      <c r="U45" s="156"/>
      <c r="V45" s="268">
        <f t="shared" ref="V45:V46" si="17">IF(U45&lt;V$34,T45-((T45*U45)/V$34),0)</f>
        <v>0</v>
      </c>
      <c r="W45" s="245"/>
      <c r="X45" s="265"/>
      <c r="Y45" s="155"/>
      <c r="Z45" s="156"/>
      <c r="AA45" s="268">
        <f t="shared" ref="AA45:AA46" si="18">IF(Z45&lt;AA$34,Y45-((Y45*Z45)/AA$34),0)</f>
        <v>0</v>
      </c>
      <c r="AB45" s="245"/>
      <c r="AC45" s="265"/>
      <c r="AD45" s="155"/>
      <c r="AE45" s="156"/>
      <c r="AF45" s="268">
        <f t="shared" ref="AF45:AF46" si="19">IF(AE45&lt;AF$34,AD45-((AD45*AE45)/AF$34),0)</f>
        <v>0</v>
      </c>
    </row>
    <row r="46" spans="1:34" x14ac:dyDescent="0.45">
      <c r="A46" s="246"/>
      <c r="B46" s="245"/>
      <c r="C46" s="245"/>
      <c r="D46" s="265"/>
      <c r="E46" s="155"/>
      <c r="F46" s="156"/>
      <c r="G46" s="268">
        <f t="shared" si="9"/>
        <v>0</v>
      </c>
      <c r="H46" s="269"/>
      <c r="I46" s="265"/>
      <c r="J46" s="155"/>
      <c r="K46" s="156"/>
      <c r="L46" s="268">
        <f t="shared" si="15"/>
        <v>0</v>
      </c>
      <c r="M46" s="245"/>
      <c r="N46" s="265"/>
      <c r="O46" s="155"/>
      <c r="P46" s="156"/>
      <c r="Q46" s="268">
        <f t="shared" si="16"/>
        <v>0</v>
      </c>
      <c r="R46" s="245"/>
      <c r="S46" s="265"/>
      <c r="T46" s="155"/>
      <c r="U46" s="156"/>
      <c r="V46" s="268">
        <f t="shared" si="17"/>
        <v>0</v>
      </c>
      <c r="W46" s="245"/>
      <c r="X46" s="265"/>
      <c r="Y46" s="155"/>
      <c r="Z46" s="156"/>
      <c r="AA46" s="268">
        <f t="shared" si="18"/>
        <v>0</v>
      </c>
      <c r="AB46" s="245"/>
      <c r="AC46" s="265"/>
      <c r="AD46" s="155"/>
      <c r="AE46" s="156"/>
      <c r="AF46" s="268">
        <f t="shared" si="19"/>
        <v>0</v>
      </c>
      <c r="AH46" s="134"/>
    </row>
    <row r="47" spans="1:34" x14ac:dyDescent="0.45">
      <c r="A47" s="246"/>
      <c r="B47" s="245"/>
      <c r="C47" s="245"/>
      <c r="D47" s="270"/>
      <c r="E47" s="157"/>
      <c r="F47" s="158"/>
      <c r="G47" s="271"/>
      <c r="H47" s="245"/>
      <c r="I47" s="270"/>
      <c r="J47" s="157"/>
      <c r="K47" s="158"/>
      <c r="L47" s="271"/>
      <c r="M47" s="245"/>
      <c r="N47" s="270"/>
      <c r="O47" s="157"/>
      <c r="P47" s="158"/>
      <c r="Q47" s="271"/>
      <c r="R47" s="245"/>
      <c r="S47" s="270"/>
      <c r="T47" s="157"/>
      <c r="U47" s="158"/>
      <c r="V47" s="271"/>
      <c r="W47" s="245"/>
      <c r="X47" s="270"/>
      <c r="Y47" s="157"/>
      <c r="Z47" s="158"/>
      <c r="AA47" s="271"/>
      <c r="AB47" s="245"/>
      <c r="AC47" s="270"/>
      <c r="AD47" s="157"/>
      <c r="AE47" s="158"/>
      <c r="AF47" s="271"/>
    </row>
    <row r="48" spans="1:34" x14ac:dyDescent="0.45">
      <c r="A48" s="246"/>
      <c r="B48" s="250" t="s">
        <v>52</v>
      </c>
      <c r="C48" s="245"/>
      <c r="D48" s="194" t="s">
        <v>53</v>
      </c>
      <c r="E48" s="195" t="s">
        <v>54</v>
      </c>
      <c r="F48" s="195" t="s">
        <v>55</v>
      </c>
      <c r="G48" s="196" t="s">
        <v>51</v>
      </c>
      <c r="H48" s="245"/>
      <c r="I48" s="194" t="s">
        <v>53</v>
      </c>
      <c r="J48" s="195" t="s">
        <v>54</v>
      </c>
      <c r="K48" s="195" t="s">
        <v>55</v>
      </c>
      <c r="L48" s="196" t="s">
        <v>51</v>
      </c>
      <c r="M48" s="245"/>
      <c r="N48" s="194" t="s">
        <v>53</v>
      </c>
      <c r="O48" s="195" t="s">
        <v>54</v>
      </c>
      <c r="P48" s="195" t="s">
        <v>55</v>
      </c>
      <c r="Q48" s="196" t="s">
        <v>51</v>
      </c>
      <c r="R48" s="245"/>
      <c r="S48" s="194" t="s">
        <v>53</v>
      </c>
      <c r="T48" s="195" t="s">
        <v>54</v>
      </c>
      <c r="U48" s="195" t="s">
        <v>55</v>
      </c>
      <c r="V48" s="196" t="s">
        <v>51</v>
      </c>
      <c r="W48" s="245"/>
      <c r="X48" s="194" t="s">
        <v>53</v>
      </c>
      <c r="Y48" s="195" t="s">
        <v>54</v>
      </c>
      <c r="Z48" s="195" t="s">
        <v>55</v>
      </c>
      <c r="AA48" s="196" t="s">
        <v>51</v>
      </c>
      <c r="AB48" s="245"/>
      <c r="AC48" s="194" t="s">
        <v>53</v>
      </c>
      <c r="AD48" s="195" t="s">
        <v>54</v>
      </c>
      <c r="AE48" s="195" t="s">
        <v>55</v>
      </c>
      <c r="AF48" s="196" t="s">
        <v>51</v>
      </c>
    </row>
    <row r="49" spans="1:34" x14ac:dyDescent="0.45">
      <c r="A49" s="246"/>
      <c r="B49" s="245"/>
      <c r="C49" s="245"/>
      <c r="D49" s="159"/>
      <c r="E49" s="160"/>
      <c r="F49" s="161"/>
      <c r="G49" s="268">
        <f>IFERROR(IF(F49&gt;G$34,0,(+E49/F49)*D49/E49),0)</f>
        <v>0</v>
      </c>
      <c r="H49" s="245"/>
      <c r="I49" s="159"/>
      <c r="J49" s="160"/>
      <c r="K49" s="161"/>
      <c r="L49" s="268">
        <f>IFERROR(IF(K49&gt;L$34,0,(+J49/K49)*I49/J49),0)</f>
        <v>0</v>
      </c>
      <c r="M49" s="245"/>
      <c r="N49" s="159"/>
      <c r="O49" s="160"/>
      <c r="P49" s="161"/>
      <c r="Q49" s="268">
        <f>IFERROR(IF(P49&gt;Q$34,0,(+O49/P49)*N49/O49),0)</f>
        <v>0</v>
      </c>
      <c r="R49" s="272"/>
      <c r="S49" s="159"/>
      <c r="T49" s="160"/>
      <c r="U49" s="161"/>
      <c r="V49" s="268">
        <f>IFERROR(IF(U49&gt;V$34,0,(+T49/U49)*S49/T49),0)</f>
        <v>0</v>
      </c>
      <c r="W49" s="272"/>
      <c r="X49" s="159"/>
      <c r="Y49" s="160"/>
      <c r="Z49" s="161"/>
      <c r="AA49" s="268">
        <f>IFERROR(IF(Z49&gt;AA$34,0,+X49/Z49-(AA$34*(X49/Z49)-X49)*0.5/AA$34),0)</f>
        <v>0</v>
      </c>
      <c r="AB49" s="272"/>
      <c r="AC49" s="159"/>
      <c r="AD49" s="160"/>
      <c r="AE49" s="161"/>
      <c r="AF49" s="268">
        <f>IFERROR(IF(AE49&gt;AF$34,0,(+AD49/AE49)*AC49/AD49),0)</f>
        <v>0</v>
      </c>
      <c r="AH49" s="134"/>
    </row>
    <row r="50" spans="1:34" x14ac:dyDescent="0.45">
      <c r="A50" s="246"/>
      <c r="B50" s="245"/>
      <c r="C50" s="245"/>
      <c r="D50" s="159"/>
      <c r="E50" s="160"/>
      <c r="F50" s="161"/>
      <c r="G50" s="268">
        <f>IFERROR(IF(F50&gt;G$34,0,(+E50/F50)*D50/E50),0)</f>
        <v>0</v>
      </c>
      <c r="H50" s="245"/>
      <c r="I50" s="159"/>
      <c r="J50" s="160"/>
      <c r="K50" s="161"/>
      <c r="L50" s="268">
        <f>IFERROR(IF(K50&gt;L$34,0,(+J50/K50)*I50/J50),0)</f>
        <v>0</v>
      </c>
      <c r="M50" s="245"/>
      <c r="N50" s="159"/>
      <c r="O50" s="160"/>
      <c r="P50" s="161"/>
      <c r="Q50" s="268">
        <f>IFERROR(IF(P50&gt;Q$34,0,(+O50/P50)*N50/O50),0)</f>
        <v>0</v>
      </c>
      <c r="R50" s="245"/>
      <c r="S50" s="159"/>
      <c r="T50" s="160"/>
      <c r="U50" s="161"/>
      <c r="V50" s="268">
        <f>IFERROR(IF(U50&gt;V$34,0,(+T50/U50)*S50/T50),0)</f>
        <v>0</v>
      </c>
      <c r="W50" s="245"/>
      <c r="X50" s="159"/>
      <c r="Y50" s="160"/>
      <c r="Z50" s="161"/>
      <c r="AA50" s="268">
        <f>IFERROR(IF(Z50&gt;AA$34,0,(+Y50/Z50)*X50/Y50),0)</f>
        <v>0</v>
      </c>
      <c r="AB50" s="245"/>
      <c r="AC50" s="159"/>
      <c r="AD50" s="160"/>
      <c r="AE50" s="161"/>
      <c r="AF50" s="268">
        <f>IFERROR(IF(AE50&gt;AF$34,0,(+AD50/AE50)*AC50/AD50),0)</f>
        <v>0</v>
      </c>
    </row>
    <row r="51" spans="1:34" x14ac:dyDescent="0.45">
      <c r="A51" s="246"/>
      <c r="B51" s="245"/>
      <c r="C51" s="245"/>
      <c r="D51" s="270"/>
      <c r="E51" s="162"/>
      <c r="F51" s="163"/>
      <c r="G51" s="273"/>
      <c r="H51" s="245"/>
      <c r="I51" s="270"/>
      <c r="J51" s="162"/>
      <c r="K51" s="163"/>
      <c r="L51" s="273"/>
      <c r="M51" s="245"/>
      <c r="N51" s="270"/>
      <c r="O51" s="162"/>
      <c r="P51" s="163"/>
      <c r="Q51" s="273"/>
      <c r="R51" s="245"/>
      <c r="S51" s="270"/>
      <c r="T51" s="162"/>
      <c r="U51" s="163"/>
      <c r="V51" s="273"/>
      <c r="W51" s="245"/>
      <c r="X51" s="270"/>
      <c r="Y51" s="162"/>
      <c r="Z51" s="163"/>
      <c r="AA51" s="273"/>
      <c r="AB51" s="245"/>
      <c r="AC51" s="270"/>
      <c r="AD51" s="162"/>
      <c r="AE51" s="163"/>
      <c r="AF51" s="273"/>
    </row>
    <row r="52" spans="1:34" x14ac:dyDescent="0.45">
      <c r="A52" s="246"/>
      <c r="B52" s="245"/>
      <c r="C52" s="245"/>
      <c r="D52" s="270"/>
      <c r="E52" s="164"/>
      <c r="F52" s="197" t="s">
        <v>56</v>
      </c>
      <c r="G52" s="196" t="s">
        <v>51</v>
      </c>
      <c r="H52" s="245"/>
      <c r="I52" s="270"/>
      <c r="J52" s="164"/>
      <c r="K52" s="197" t="s">
        <v>56</v>
      </c>
      <c r="L52" s="196" t="s">
        <v>51</v>
      </c>
      <c r="M52" s="245"/>
      <c r="N52" s="270"/>
      <c r="O52" s="164"/>
      <c r="P52" s="197" t="s">
        <v>56</v>
      </c>
      <c r="Q52" s="196" t="s">
        <v>51</v>
      </c>
      <c r="R52" s="245"/>
      <c r="S52" s="270"/>
      <c r="T52" s="164"/>
      <c r="U52" s="197" t="s">
        <v>56</v>
      </c>
      <c r="V52" s="196" t="s">
        <v>51</v>
      </c>
      <c r="W52" s="245"/>
      <c r="X52" s="270"/>
      <c r="Y52" s="164"/>
      <c r="Z52" s="197" t="s">
        <v>56</v>
      </c>
      <c r="AA52" s="196" t="s">
        <v>51</v>
      </c>
      <c r="AB52" s="245"/>
      <c r="AC52" s="270"/>
      <c r="AD52" s="164"/>
      <c r="AE52" s="197" t="s">
        <v>56</v>
      </c>
      <c r="AF52" s="196" t="s">
        <v>51</v>
      </c>
      <c r="AH52" s="134"/>
    </row>
    <row r="53" spans="1:34" x14ac:dyDescent="0.45">
      <c r="A53" s="246"/>
      <c r="B53" s="250" t="s">
        <v>57</v>
      </c>
      <c r="C53" s="245"/>
      <c r="D53" s="265"/>
      <c r="E53" s="164"/>
      <c r="F53" s="155">
        <v>6.5350000000000001</v>
      </c>
      <c r="G53" s="268">
        <f>+F53</f>
        <v>6.5350000000000001</v>
      </c>
      <c r="H53" s="269"/>
      <c r="I53" s="265"/>
      <c r="J53" s="164"/>
      <c r="K53" s="155"/>
      <c r="L53" s="268">
        <f>+K53</f>
        <v>0</v>
      </c>
      <c r="M53" s="245"/>
      <c r="N53" s="265"/>
      <c r="O53" s="164"/>
      <c r="P53" s="155"/>
      <c r="Q53" s="268">
        <f>+P53</f>
        <v>0</v>
      </c>
      <c r="R53" s="245"/>
      <c r="S53" s="265"/>
      <c r="T53" s="164"/>
      <c r="U53" s="423">
        <f>3.815+3.623</f>
        <v>7.4380000000000006</v>
      </c>
      <c r="V53" s="268">
        <f>+U53</f>
        <v>7.4380000000000006</v>
      </c>
      <c r="W53" s="245"/>
      <c r="X53" s="265"/>
      <c r="Y53" s="164"/>
      <c r="Z53" s="423">
        <f>1.187+4.098+0.819</f>
        <v>6.1040000000000001</v>
      </c>
      <c r="AA53" s="268">
        <f>+Z53</f>
        <v>6.1040000000000001</v>
      </c>
      <c r="AB53" s="245"/>
      <c r="AC53" s="265"/>
      <c r="AD53" s="164"/>
      <c r="AE53" s="155">
        <v>23.954999999999998</v>
      </c>
      <c r="AF53" s="268">
        <f>+AE53</f>
        <v>23.954999999999998</v>
      </c>
    </row>
    <row r="54" spans="1:34" x14ac:dyDescent="0.45">
      <c r="A54" s="246"/>
      <c r="B54" s="250"/>
      <c r="C54" s="245"/>
      <c r="D54" s="265"/>
      <c r="E54" s="165"/>
      <c r="F54" s="162"/>
      <c r="G54" s="166"/>
      <c r="H54" s="245"/>
      <c r="I54" s="265"/>
      <c r="J54" s="165"/>
      <c r="K54" s="162"/>
      <c r="L54" s="166"/>
      <c r="M54" s="245"/>
      <c r="N54" s="265"/>
      <c r="O54" s="165"/>
      <c r="P54" s="162"/>
      <c r="Q54" s="166"/>
      <c r="R54" s="245"/>
      <c r="S54" s="265"/>
      <c r="T54" s="165"/>
      <c r="U54" s="162"/>
      <c r="V54" s="166"/>
      <c r="W54" s="245"/>
      <c r="X54" s="265"/>
      <c r="Y54" s="165"/>
      <c r="Z54" s="162"/>
      <c r="AA54" s="166"/>
      <c r="AB54" s="245"/>
      <c r="AC54" s="265"/>
      <c r="AD54" s="165"/>
      <c r="AE54" s="162"/>
      <c r="AF54" s="166"/>
    </row>
    <row r="55" spans="1:34" x14ac:dyDescent="0.45">
      <c r="A55" s="246"/>
      <c r="B55" s="250" t="s">
        <v>58</v>
      </c>
      <c r="C55" s="250"/>
      <c r="D55" s="274"/>
      <c r="E55" s="275"/>
      <c r="F55" s="275"/>
      <c r="G55" s="167">
        <f>+G53+SUM(G38:G46)+SUM(G49:G50)+G35</f>
        <v>446.324186</v>
      </c>
      <c r="H55" s="245"/>
      <c r="I55" s="274"/>
      <c r="J55" s="275"/>
      <c r="K55" s="275"/>
      <c r="L55" s="167">
        <f>+L53+SUM(L38:L46)+SUM(L49:L50)+L35</f>
        <v>914.29897800000003</v>
      </c>
      <c r="M55" s="245"/>
      <c r="N55" s="274"/>
      <c r="O55" s="275"/>
      <c r="P55" s="275"/>
      <c r="Q55" s="167">
        <f>+Q53+SUM(Q38:Q46)+SUM(Q49:Q50)+Q35</f>
        <v>801.06307524472572</v>
      </c>
      <c r="R55" s="245"/>
      <c r="S55" s="274"/>
      <c r="T55" s="275"/>
      <c r="U55" s="275"/>
      <c r="V55" s="167">
        <f>+V53+SUM(V38:V46)+SUM(V49:V50)+V35</f>
        <v>520.4938584970829</v>
      </c>
      <c r="W55" s="245"/>
      <c r="X55" s="274"/>
      <c r="Y55" s="275"/>
      <c r="Z55" s="275"/>
      <c r="AA55" s="167">
        <f>+AA53+SUM(AA38:AA46)+SUM(AA49:AA50)+AA35</f>
        <v>274.18040909470307</v>
      </c>
      <c r="AB55" s="245"/>
      <c r="AC55" s="274"/>
      <c r="AD55" s="275"/>
      <c r="AE55" s="275"/>
      <c r="AF55" s="167">
        <f>+AF53+SUM(AF38:AF46)+SUM(AF49:AF50)+AF35</f>
        <v>2878.6771370000001</v>
      </c>
      <c r="AH55" s="134"/>
    </row>
    <row r="56" spans="1:34" x14ac:dyDescent="0.45">
      <c r="A56" s="246"/>
      <c r="B56" s="245"/>
      <c r="C56" s="245"/>
      <c r="D56" s="276"/>
      <c r="E56" s="245"/>
      <c r="F56" s="245"/>
      <c r="G56" s="277"/>
      <c r="H56" s="245"/>
      <c r="I56" s="276"/>
      <c r="J56" s="245"/>
      <c r="K56" s="245"/>
      <c r="L56" s="277"/>
      <c r="M56" s="245"/>
      <c r="N56" s="276"/>
      <c r="O56" s="245"/>
      <c r="P56" s="245"/>
      <c r="Q56" s="277"/>
      <c r="R56" s="245"/>
      <c r="S56" s="276"/>
      <c r="T56" s="245"/>
      <c r="U56" s="245"/>
      <c r="V56" s="277"/>
      <c r="W56" s="245"/>
      <c r="X56" s="276"/>
      <c r="Y56" s="245"/>
      <c r="Z56" s="245"/>
      <c r="AA56" s="277"/>
      <c r="AB56" s="245"/>
      <c r="AC56" s="276"/>
      <c r="AD56" s="245"/>
      <c r="AE56" s="245"/>
      <c r="AF56" s="277"/>
    </row>
    <row r="57" spans="1:34" x14ac:dyDescent="0.45">
      <c r="A57" s="246"/>
      <c r="B57" s="245"/>
      <c r="C57" s="245"/>
      <c r="D57" s="182" t="s">
        <v>154</v>
      </c>
      <c r="E57" s="192"/>
      <c r="F57" s="192"/>
      <c r="G57" s="193"/>
      <c r="H57" s="245"/>
      <c r="I57" s="182" t="s">
        <v>154</v>
      </c>
      <c r="J57" s="192"/>
      <c r="K57" s="192"/>
      <c r="L57" s="193"/>
      <c r="M57" s="245"/>
      <c r="N57" s="182" t="s">
        <v>154</v>
      </c>
      <c r="O57" s="192"/>
      <c r="P57" s="192"/>
      <c r="Q57" s="193"/>
      <c r="R57" s="245"/>
      <c r="S57" s="182" t="s">
        <v>154</v>
      </c>
      <c r="T57" s="192"/>
      <c r="U57" s="192"/>
      <c r="V57" s="193"/>
      <c r="W57" s="245"/>
      <c r="X57" s="182" t="s">
        <v>154</v>
      </c>
      <c r="Y57" s="192"/>
      <c r="Z57" s="192"/>
      <c r="AA57" s="193"/>
      <c r="AB57" s="245"/>
      <c r="AC57" s="182" t="s">
        <v>154</v>
      </c>
      <c r="AD57" s="192"/>
      <c r="AE57" s="192"/>
      <c r="AF57" s="193"/>
    </row>
    <row r="58" spans="1:34" x14ac:dyDescent="0.45">
      <c r="A58" s="246"/>
      <c r="B58" s="245"/>
      <c r="C58" s="245"/>
      <c r="D58" s="151"/>
      <c r="E58" s="264"/>
      <c r="F58" s="264"/>
      <c r="G58" s="278"/>
      <c r="H58" s="245"/>
      <c r="I58" s="151"/>
      <c r="J58" s="264"/>
      <c r="K58" s="264"/>
      <c r="L58" s="278"/>
      <c r="M58" s="245"/>
      <c r="N58" s="151"/>
      <c r="O58" s="264"/>
      <c r="P58" s="264"/>
      <c r="Q58" s="278"/>
      <c r="R58" s="245"/>
      <c r="S58" s="151"/>
      <c r="T58" s="264"/>
      <c r="U58" s="264"/>
      <c r="V58" s="278"/>
      <c r="W58" s="245"/>
      <c r="X58" s="151"/>
      <c r="Y58" s="264"/>
      <c r="Z58" s="264"/>
      <c r="AA58" s="278"/>
      <c r="AB58" s="245"/>
      <c r="AC58" s="151"/>
      <c r="AD58" s="264"/>
      <c r="AE58" s="264"/>
      <c r="AF58" s="278"/>
      <c r="AH58" s="134"/>
    </row>
    <row r="59" spans="1:34" x14ac:dyDescent="0.45">
      <c r="A59" s="246"/>
      <c r="B59" s="245" t="s">
        <v>59</v>
      </c>
      <c r="C59" s="245"/>
      <c r="D59" s="149"/>
      <c r="E59" s="256"/>
      <c r="F59" s="256"/>
      <c r="G59" s="420">
        <f>+G55*G34</f>
        <v>112121.09876506</v>
      </c>
      <c r="H59" s="245"/>
      <c r="I59" s="149"/>
      <c r="J59" s="256"/>
      <c r="K59" s="256"/>
      <c r="L59" s="420">
        <f>+L55*L34</f>
        <v>46610.96189844</v>
      </c>
      <c r="M59" s="245"/>
      <c r="N59" s="149"/>
      <c r="O59" s="256"/>
      <c r="P59" s="256"/>
      <c r="Q59" s="420">
        <f>+Q55*Q34</f>
        <v>18985.194883299999</v>
      </c>
      <c r="R59" s="245"/>
      <c r="S59" s="149"/>
      <c r="T59" s="256"/>
      <c r="U59" s="256"/>
      <c r="V59" s="420">
        <f>+V55*V34</f>
        <v>44606.323673200008</v>
      </c>
      <c r="W59" s="245"/>
      <c r="X59" s="149"/>
      <c r="Y59" s="256"/>
      <c r="Z59" s="256"/>
      <c r="AA59" s="420">
        <f>+AA55*AA34</f>
        <v>17081.4394866</v>
      </c>
      <c r="AB59" s="245"/>
      <c r="AC59" s="149"/>
      <c r="AD59" s="256"/>
      <c r="AE59" s="256"/>
      <c r="AF59" s="420">
        <f>+AF55*AF34</f>
        <v>302577.75674874714</v>
      </c>
    </row>
    <row r="60" spans="1:34" x14ac:dyDescent="0.45">
      <c r="A60" s="246"/>
      <c r="B60" s="245" t="s">
        <v>60</v>
      </c>
      <c r="C60" s="245"/>
      <c r="D60" s="265"/>
      <c r="E60" s="266"/>
      <c r="F60" s="266"/>
      <c r="G60" s="419">
        <f>+G59+SUM(G17:G25)</f>
        <v>110817.09876506</v>
      </c>
      <c r="H60" s="245"/>
      <c r="I60" s="265"/>
      <c r="J60" s="266"/>
      <c r="K60" s="266"/>
      <c r="L60" s="419">
        <f>+L59+SUM(L17:L25)</f>
        <v>57793.96189844</v>
      </c>
      <c r="M60" s="245"/>
      <c r="N60" s="265"/>
      <c r="O60" s="266"/>
      <c r="P60" s="266"/>
      <c r="Q60" s="419">
        <f>+Q59+SUM(Q17:Q25)</f>
        <v>31665.519844053531</v>
      </c>
      <c r="R60" s="245"/>
      <c r="S60" s="265"/>
      <c r="T60" s="266"/>
      <c r="U60" s="266"/>
      <c r="V60" s="419">
        <f>+V59+SUM(V17:V25)</f>
        <v>55879.323673200008</v>
      </c>
      <c r="W60" s="245"/>
      <c r="X60" s="265"/>
      <c r="Y60" s="266"/>
      <c r="Z60" s="266"/>
      <c r="AA60" s="419">
        <f>+AA59+SUM(AA17:AA25)</f>
        <v>16808.542111898329</v>
      </c>
      <c r="AB60" s="245"/>
      <c r="AC60" s="265"/>
      <c r="AD60" s="266"/>
      <c r="AE60" s="266"/>
      <c r="AF60" s="419">
        <f>+AF59+SUM(AF17:AF25)</f>
        <v>351955.35474102513</v>
      </c>
    </row>
    <row r="61" spans="1:34" x14ac:dyDescent="0.45">
      <c r="A61" s="246"/>
      <c r="B61" s="473" t="s">
        <v>377</v>
      </c>
      <c r="C61" s="245"/>
      <c r="D61" s="274"/>
      <c r="E61" s="275"/>
      <c r="F61" s="275"/>
      <c r="G61" s="168">
        <v>0.9</v>
      </c>
      <c r="H61" s="245"/>
      <c r="I61" s="274"/>
      <c r="J61" s="275"/>
      <c r="K61" s="275"/>
      <c r="L61" s="168">
        <v>0.76</v>
      </c>
      <c r="M61" s="245"/>
      <c r="N61" s="274"/>
      <c r="O61" s="275"/>
      <c r="P61" s="275"/>
      <c r="Q61" s="168">
        <v>0.68</v>
      </c>
      <c r="R61" s="245"/>
      <c r="S61" s="274"/>
      <c r="T61" s="275"/>
      <c r="U61" s="275"/>
      <c r="V61" s="168">
        <v>0.6</v>
      </c>
      <c r="W61" s="245"/>
      <c r="X61" s="274"/>
      <c r="Y61" s="275"/>
      <c r="Z61" s="275"/>
      <c r="AA61" s="168">
        <v>0.99</v>
      </c>
      <c r="AB61" s="245"/>
      <c r="AC61" s="274"/>
      <c r="AD61" s="275"/>
      <c r="AE61" s="275"/>
      <c r="AF61" s="168">
        <v>0.37</v>
      </c>
      <c r="AH61" s="134"/>
    </row>
    <row r="62" spans="1:34" x14ac:dyDescent="0.45">
      <c r="A62" s="246"/>
      <c r="B62" s="245"/>
      <c r="C62" s="245"/>
      <c r="D62" s="260"/>
      <c r="E62" s="245"/>
      <c r="F62" s="245"/>
      <c r="G62" s="261"/>
      <c r="H62" s="245"/>
      <c r="I62" s="260"/>
      <c r="J62" s="245"/>
      <c r="K62" s="245"/>
      <c r="L62" s="261"/>
      <c r="M62" s="245"/>
      <c r="N62" s="260"/>
      <c r="O62" s="245"/>
      <c r="P62" s="245"/>
      <c r="Q62" s="261"/>
      <c r="R62" s="245"/>
      <c r="S62" s="260"/>
      <c r="T62" s="245"/>
      <c r="U62" s="245"/>
      <c r="V62" s="261"/>
      <c r="W62" s="245"/>
      <c r="X62" s="260"/>
      <c r="Y62" s="245"/>
      <c r="Z62" s="245"/>
      <c r="AA62" s="261"/>
      <c r="AB62" s="245"/>
      <c r="AC62" s="260"/>
      <c r="AD62" s="245"/>
      <c r="AE62" s="245"/>
      <c r="AF62" s="261"/>
    </row>
    <row r="63" spans="1:34" x14ac:dyDescent="0.45">
      <c r="A63" s="246"/>
      <c r="B63" s="245"/>
      <c r="C63" s="245"/>
      <c r="D63" s="182" t="s">
        <v>158</v>
      </c>
      <c r="E63" s="192"/>
      <c r="F63" s="192"/>
      <c r="G63" s="193"/>
      <c r="H63" s="245"/>
      <c r="I63" s="182" t="s">
        <v>158</v>
      </c>
      <c r="J63" s="192"/>
      <c r="K63" s="192"/>
      <c r="L63" s="193"/>
      <c r="M63" s="245"/>
      <c r="N63" s="182" t="s">
        <v>158</v>
      </c>
      <c r="O63" s="192"/>
      <c r="P63" s="192"/>
      <c r="Q63" s="193"/>
      <c r="R63" s="245"/>
      <c r="S63" s="182" t="s">
        <v>158</v>
      </c>
      <c r="T63" s="192"/>
      <c r="U63" s="192"/>
      <c r="V63" s="193"/>
      <c r="W63" s="245"/>
      <c r="X63" s="182" t="s">
        <v>158</v>
      </c>
      <c r="Y63" s="192"/>
      <c r="Z63" s="192"/>
      <c r="AA63" s="193"/>
      <c r="AB63" s="245"/>
      <c r="AC63" s="182" t="s">
        <v>158</v>
      </c>
      <c r="AD63" s="192"/>
      <c r="AE63" s="192"/>
      <c r="AF63" s="193"/>
    </row>
    <row r="64" spans="1:34" x14ac:dyDescent="0.45">
      <c r="A64" s="246"/>
      <c r="B64" s="245"/>
      <c r="C64" s="245"/>
      <c r="D64" s="184" t="str">
        <f>G5</f>
        <v>LTM</v>
      </c>
      <c r="E64" s="185">
        <f>D28</f>
        <v>43861</v>
      </c>
      <c r="F64" s="185">
        <f>E28</f>
        <v>44227</v>
      </c>
      <c r="G64" s="186">
        <f>F28</f>
        <v>44592</v>
      </c>
      <c r="H64" s="245"/>
      <c r="I64" s="184" t="str">
        <f>L5</f>
        <v>LTM</v>
      </c>
      <c r="J64" s="185">
        <f>I28</f>
        <v>43861</v>
      </c>
      <c r="K64" s="185">
        <f>J28</f>
        <v>44227</v>
      </c>
      <c r="L64" s="186">
        <f>K28</f>
        <v>44592</v>
      </c>
      <c r="M64" s="245"/>
      <c r="N64" s="184" t="str">
        <f>Q5</f>
        <v>LTM</v>
      </c>
      <c r="O64" s="185">
        <f>N28</f>
        <v>43861</v>
      </c>
      <c r="P64" s="185">
        <f>O28</f>
        <v>44227</v>
      </c>
      <c r="Q64" s="186">
        <f>P28</f>
        <v>44592</v>
      </c>
      <c r="R64" s="245"/>
      <c r="S64" s="184" t="str">
        <f>V5</f>
        <v>LTM</v>
      </c>
      <c r="T64" s="185">
        <f>S28</f>
        <v>43861</v>
      </c>
      <c r="U64" s="185">
        <f>T28</f>
        <v>44227</v>
      </c>
      <c r="V64" s="186">
        <f>U28</f>
        <v>44592</v>
      </c>
      <c r="W64" s="245"/>
      <c r="X64" s="184" t="str">
        <f>AA5</f>
        <v>LTM</v>
      </c>
      <c r="Y64" s="185">
        <f>X28</f>
        <v>43861</v>
      </c>
      <c r="Z64" s="185">
        <f>Y28</f>
        <v>44227</v>
      </c>
      <c r="AA64" s="186">
        <f>Z28</f>
        <v>44592</v>
      </c>
      <c r="AB64" s="245"/>
      <c r="AC64" s="184" t="str">
        <f>AF5</f>
        <v>LTM</v>
      </c>
      <c r="AD64" s="185">
        <f>AC28</f>
        <v>43861</v>
      </c>
      <c r="AE64" s="185">
        <f>AD28</f>
        <v>44227</v>
      </c>
      <c r="AF64" s="186">
        <f>AE28</f>
        <v>44592</v>
      </c>
    </row>
    <row r="65" spans="1:32" x14ac:dyDescent="0.45">
      <c r="A65" s="246"/>
      <c r="B65" s="245" t="s">
        <v>62</v>
      </c>
      <c r="C65" s="245"/>
      <c r="D65" s="169">
        <f>IFERROR(IF(OR(+G$60/G6&lt;0,+G$60/G6&gt;=100),"NM",+G$60/G6),"N/A")</f>
        <v>0.74067679101874129</v>
      </c>
      <c r="E65" s="170">
        <f>IFERROR(IF(OR(+G$60/D29&lt;0,+G$60/D29&gt;=100),"NM",+G$60/D29),"N/A")</f>
        <v>0.70867342393612587</v>
      </c>
      <c r="F65" s="170">
        <f>IFERROR(IF(OR(+G$60/E29&lt;0,+G$60/E29&gt;=100),"NM",+G$60/E29),"N/A")</f>
        <v>0.66210451243662238</v>
      </c>
      <c r="G65" s="171" t="str">
        <f>IFERROR(IF(OR(+G$60/F29&lt;0,+G$60/F29&gt;=100),"NM",+G$60/F29),"N/A")</f>
        <v>N/A</v>
      </c>
      <c r="H65" s="245"/>
      <c r="I65" s="169">
        <f>IFERROR(IF(OR(+L$60/L6&lt;0,+L$60/L6&gt;=100),"NM",+L$60/L6),"N/A")</f>
        <v>0.42465272488328176</v>
      </c>
      <c r="J65" s="170">
        <f>IFERROR(IF(OR(+L$60/I29&lt;0,+L$60/I29&gt;=100),"NM",+L$60/I29),"N/A")</f>
        <v>0.41926791437451594</v>
      </c>
      <c r="K65" s="170">
        <f>IFERROR(IF(OR(+L$60/J29&lt;0,+L$60/J29&gt;=100),"NM",+L$60/J29),"N/A")</f>
        <v>0.4088146094372051</v>
      </c>
      <c r="L65" s="171" t="str">
        <f>IFERROR(IF(OR(+L$60/K29&lt;0,+L$60/K29&gt;=100),"NM",+L$60/K29),"N/A")</f>
        <v>N/A</v>
      </c>
      <c r="M65" s="245"/>
      <c r="N65" s="169">
        <f>IFERROR(IF(OR(+Q$60/Q6&lt;0,+Q$60/Q6&gt;=100),"NM",+Q$60/Q6),"N/A")</f>
        <v>0.26236852660143284</v>
      </c>
      <c r="O65" s="170">
        <f>IFERROR(IF(OR(+Q$60/N29&lt;0,+Q$60/N29&gt;=100),"NM",+Q$60/N29),"N/A")</f>
        <v>0.25745310933494714</v>
      </c>
      <c r="P65" s="170">
        <f>IFERROR(IF(OR(+Q$60/O29&lt;0,+Q$60/O29&gt;=100),"NM",+Q$60/O29),"N/A")</f>
        <v>0.25098923600854905</v>
      </c>
      <c r="Q65" s="171">
        <f>IFERROR(IF(OR(+Q$60/P29&lt;0,+Q$60/P29&gt;=100),"NM",+Q$60/P29),"N/A")</f>
        <v>0.24362256259534154</v>
      </c>
      <c r="R65" s="245"/>
      <c r="S65" s="169">
        <f>IFERROR(IF(OR(+V$60/V6&lt;0,+V$60/V6&gt;=100),"NM",+V$60/V6),"N/A")</f>
        <v>0.73330521079761701</v>
      </c>
      <c r="T65" s="170">
        <f>IFERROR(IF(OR(+V$60/S29&lt;0,+V$60/S29&gt;=100),"NM",+V$60/S29),"N/A")</f>
        <v>0.71544866296928367</v>
      </c>
      <c r="U65" s="170">
        <f>IFERROR(IF(OR(+V$60/T29&lt;0,+V$60/T29&gt;=100),"NM",+V$60/T29),"N/A")</f>
        <v>0.69439392734970939</v>
      </c>
      <c r="V65" s="171">
        <f>IFERROR(IF(OR(+V$60/U29&lt;0,+V$60/U29&gt;=100),"NM",+V$60/U29),"N/A")</f>
        <v>0.6795001949658982</v>
      </c>
      <c r="W65" s="245"/>
      <c r="X65" s="169">
        <f>IFERROR(IF(OR(+AA$60/AA6&lt;0,+AA$60/AA6&gt;=100),"NM",+AA$60/AA6),"N/A")</f>
        <v>0.39169794257779478</v>
      </c>
      <c r="Y65" s="170">
        <f>IFERROR(IF(OR(+AA$60/X29&lt;0,+AA$60/X29&gt;=100),"NM",+AA$60/X29),"N/A")</f>
        <v>0.38557821819193155</v>
      </c>
      <c r="Z65" s="170">
        <f>IFERROR(IF(OR(+AA$60/Y29&lt;0,+AA$60/Y29&gt;=100),"NM",+AA$60/Y29),"N/A")</f>
        <v>0.38012869664022414</v>
      </c>
      <c r="AA65" s="171">
        <f>IFERROR(IF(OR(+AA$60/Z29&lt;0,+AA$60/Z29&gt;=100),"NM",+AA$60/Z29),"N/A")</f>
        <v>0.37508107813806923</v>
      </c>
      <c r="AB65" s="245"/>
      <c r="AC65" s="169">
        <f>IFERROR(IF(OR(+AF$60/AF6&lt;0,+AF$60/AF6&gt;=100),"NM",+AF$60/AF6),"N/A")</f>
        <v>0.68256022562451546</v>
      </c>
      <c r="AD65" s="170">
        <f>IFERROR(IF(OR(+AF$60/AC29&lt;0,+AF$60/AC29&gt;=100),"NM",+AF$60/AC29),"N/A")</f>
        <v>0.66833082113804942</v>
      </c>
      <c r="AE65" s="170">
        <f>IFERROR(IF(OR(+AF$60/AD29&lt;0,+AF$60/AD29&gt;=100),"NM",+AF$60/AD29),"N/A")</f>
        <v>0.64360060419186793</v>
      </c>
      <c r="AF65" s="171">
        <f>IFERROR(IF(OR(+AF$60/AE29&lt;0,+AF$60/AE29&gt;=100),"NM",+AF$60/AE29),"N/A")</f>
        <v>0.62301313826347171</v>
      </c>
    </row>
    <row r="66" spans="1:32" x14ac:dyDescent="0.45">
      <c r="A66" s="246"/>
      <c r="B66" s="245" t="s">
        <v>63</v>
      </c>
      <c r="C66" s="245"/>
      <c r="D66" s="172">
        <f>IFERROR(IF(OR(+G$60/G12&lt;0,+G$60/G12&gt;=100),"NM",+G$60/G12),"N/A")</f>
        <v>17.960631890609399</v>
      </c>
      <c r="E66" s="173">
        <f>IFERROR(IF(OR(+G$60/D30&lt;0,+G$60/D30&gt;=100),"NM",+G$60/D30),"N/A")</f>
        <v>16.904790288627641</v>
      </c>
      <c r="F66" s="173">
        <f>IFERROR(IF(OR(+G$60/E30&lt;0,+G$60/E30&gt;=100),"NM",+G$60/E30),"N/A")</f>
        <v>15.686911155437361</v>
      </c>
      <c r="G66" s="174" t="str">
        <f>IFERROR(IF(OR(+G$60/F30&lt;0,+G$60/F30&gt;=100),"NM",+G$60/F30),"N/A")</f>
        <v>N/A</v>
      </c>
      <c r="H66" s="245"/>
      <c r="I66" s="172">
        <f>IFERROR(IF(OR(+L$60/L12&lt;0,+L$60/L12&gt;=100),"NM",+L$60/L12),"N/A")</f>
        <v>7.0825933699068626</v>
      </c>
      <c r="J66" s="173">
        <f>IFERROR(IF(OR(+L$60/I30&lt;0,+L$60/I30&gt;=100),"NM",+L$60/I30),"N/A")</f>
        <v>6.706975352397472</v>
      </c>
      <c r="K66" s="173">
        <f>IFERROR(IF(OR(+L$60/J30&lt;0,+L$60/J30&gt;=100),"NM",+L$60/J30),"N/A")</f>
        <v>6.6937669922395928</v>
      </c>
      <c r="L66" s="174" t="str">
        <f>IFERROR(IF(OR(+L$60/K30&lt;0,+L$60/K30&gt;=100),"NM",+L$60/K30),"N/A")</f>
        <v>N/A</v>
      </c>
      <c r="M66" s="245"/>
      <c r="N66" s="172">
        <f>IFERROR(IF(OR(+Q$60/Q12&lt;0,+Q$60/Q12&gt;=100),"NM",+Q$60/Q12),"N/A")</f>
        <v>6.347067517348874</v>
      </c>
      <c r="O66" s="173">
        <f>IFERROR(IF(OR(+Q$60/N30&lt;0,+Q$60/N30&gt;=100),"NM",+Q$60/N30),"N/A")</f>
        <v>5.8626606292751511</v>
      </c>
      <c r="P66" s="173">
        <f>IFERROR(IF(OR(+Q$60/O30&lt;0,+Q$60/O30&gt;=100),"NM",+Q$60/O30),"N/A")</f>
        <v>5.7243222929549473</v>
      </c>
      <c r="Q66" s="174">
        <f>IFERROR(IF(OR(+Q$60/P30&lt;0,+Q$60/P30&gt;=100),"NM",+Q$60/P30),"N/A")</f>
        <v>5.6566379496839074</v>
      </c>
      <c r="R66" s="245"/>
      <c r="S66" s="172">
        <f>IFERROR(IF(OR(+V$60/V12&lt;0,+V$60/V12&gt;=100),"NM",+V$60/V12),"N/A")</f>
        <v>8.3514158830070251</v>
      </c>
      <c r="T66" s="173">
        <f>IFERROR(IF(OR(+V$60/S30&lt;0,+V$60/S30&gt;=100),"NM",+V$60/S30),"N/A")</f>
        <v>8.3311576354015866</v>
      </c>
      <c r="U66" s="173">
        <f>IFERROR(IF(OR(+V$60/T30&lt;0,+V$60/T30&gt;=100),"NM",+V$60/T30),"N/A")</f>
        <v>8.0860657909839571</v>
      </c>
      <c r="V66" s="174">
        <f>IFERROR(IF(OR(+V$60/U30&lt;0,+V$60/U30&gt;=100),"NM",+V$60/U30),"N/A")</f>
        <v>8.2940356839619511</v>
      </c>
      <c r="W66" s="245"/>
      <c r="X66" s="172">
        <f>IFERROR(IF(OR(+AA$60/AA12&lt;0,+AA$60/AA12&gt;=100),"NM",+AA$60/AA12),"N/A")</f>
        <v>6.0834390560616463</v>
      </c>
      <c r="Y66" s="173">
        <f>IFERROR(IF(OR(+AA$60/X30&lt;0,+AA$60/X30&gt;=100),"NM",+AA$60/X30),"N/A")</f>
        <v>5.9683278752892379</v>
      </c>
      <c r="Z66" s="173">
        <f>IFERROR(IF(OR(+AA$60/Y30&lt;0,+AA$60/Y30&gt;=100),"NM",+AA$60/Y30),"N/A")</f>
        <v>5.83384831785893</v>
      </c>
      <c r="AA66" s="174">
        <f>IFERROR(IF(OR(+AA$60/Z30&lt;0,+AA$60/Z30&gt;=100),"NM",+AA$60/Z30),"N/A")</f>
        <v>5.9048198581801072</v>
      </c>
      <c r="AB66" s="245"/>
      <c r="AC66" s="172">
        <f>IFERROR(IF(OR(+AF$60/AF12&lt;0,+AF$60/AF12&gt;=100),"NM",+AF$60/AF12),"N/A")</f>
        <v>10.842072415163118</v>
      </c>
      <c r="AD66" s="173">
        <f>IFERROR(IF(OR(+AF$60/AC30&lt;0,+AF$60/AC30&gt;=100),"NM",+AF$60/AC30),"N/A")</f>
        <v>10.994391982403258</v>
      </c>
      <c r="AE66" s="173">
        <f>IFERROR(IF(OR(+AF$60/AD30&lt;0,+AF$60/AD30&gt;=100),"NM",+AF$60/AD30),"N/A")</f>
        <v>10.754910576225143</v>
      </c>
      <c r="AF66" s="174">
        <f>IFERROR(IF(OR(+AF$60/AE30&lt;0,+AF$60/AE30&gt;=100),"NM",+AF$60/AE30),"N/A")</f>
        <v>10.553797488701509</v>
      </c>
    </row>
    <row r="67" spans="1:32" x14ac:dyDescent="0.45">
      <c r="A67" s="246"/>
      <c r="B67" s="245" t="s">
        <v>64</v>
      </c>
      <c r="C67" s="245"/>
      <c r="D67" s="175">
        <f>IFERROR(IF(OR(+G$59/G7&lt;0,+G$59/G7&gt;=100),"NM",+G$59/G7),"N/A")</f>
        <v>31.101553055495145</v>
      </c>
      <c r="E67" s="176">
        <f>IFERROR(IF(OR(+G$59/D31&lt;0,+G$59/D31&gt;=100),"NM",+G$59/D31),"N/A")</f>
        <v>30.897171763956226</v>
      </c>
      <c r="F67" s="176">
        <f>IFERROR(IF(OR(+G$59/E31&lt;0,+G$59/E31&gt;=100),"NM",+G$59/E31),"N/A")</f>
        <v>29.334537101701834</v>
      </c>
      <c r="G67" s="177" t="str">
        <f>IFERROR(IF(OR(+G$59/F31&lt;0,+G$59/F31&gt;=100),"NM",+G$59/F31),"N/A")</f>
        <v>N/A</v>
      </c>
      <c r="H67" s="245"/>
      <c r="I67" s="175">
        <f>IFERROR(IF(OR(+L$59/L7&lt;0,+L$59/L7&gt;=100),"NM",+L$59/L7),"N/A")</f>
        <v>9.0806471650964351</v>
      </c>
      <c r="J67" s="176">
        <f>IFERROR(IF(OR(+L$59/I31&lt;0,+L$59/I31&gt;=100),"NM",+L$59/I31),"N/A")</f>
        <v>8.5930809209837555</v>
      </c>
      <c r="K67" s="176">
        <f>IFERROR(IF(OR(+L$59/J31&lt;0,+L$59/J31&gt;=100),"NM",+L$59/J31),"N/A")</f>
        <v>8.7537309289806178</v>
      </c>
      <c r="L67" s="177" t="str">
        <f>IFERROR(IF(OR(+L$59/K31&lt;0,+L$59/K31&gt;=100),"NM",+L$59/K31),"N/A")</f>
        <v>N/A</v>
      </c>
      <c r="M67" s="245"/>
      <c r="N67" s="175">
        <f>IFERROR(IF(OR(+Q$59/Q7&lt;0,+Q$59/Q7&gt;=100),"NM",+Q$59/Q7),"N/A")</f>
        <v>10.229092070743533</v>
      </c>
      <c r="O67" s="176">
        <f>IFERROR(IF(OR(+Q$59/N31&lt;0,+Q$59/N31&gt;=100),"NM",+Q$59/N31),"N/A")</f>
        <v>10.863021979470043</v>
      </c>
      <c r="P67" s="176">
        <f>IFERROR(IF(OR(+Q$59/O31&lt;0,+Q$59/O31&gt;=100),"NM",+Q$59/O31),"N/A")</f>
        <v>10.397775815246263</v>
      </c>
      <c r="Q67" s="177">
        <f>IFERROR(IF(OR(+Q$59/P31&lt;0,+Q$59/P31&gt;=100),"NM",+Q$59/P31),"N/A")</f>
        <v>10.373119708069478</v>
      </c>
      <c r="R67" s="245"/>
      <c r="S67" s="175">
        <f>IFERROR(IF(OR(+V$59/V7&lt;0,+V$59/V7&gt;=100),"NM",+V$59/V7),"N/A")</f>
        <v>14.799709247909757</v>
      </c>
      <c r="T67" s="176">
        <f>IFERROR(IF(OR(+V$59/S31&lt;0,+V$59/S31&gt;=100),"NM",+V$59/S31),"N/A")</f>
        <v>14.668307686024336</v>
      </c>
      <c r="U67" s="176">
        <f>IFERROR(IF(OR(+V$59/T31&lt;0,+V$59/T31&gt;=100),"NM",+V$59/T31),"N/A")</f>
        <v>14.14295795545917</v>
      </c>
      <c r="V67" s="177">
        <f>IFERROR(IF(OR(+V$59/U31&lt;0,+V$59/U31&gt;=100),"NM",+V$59/U31),"N/A")</f>
        <v>13.875173391190206</v>
      </c>
      <c r="W67" s="245"/>
      <c r="X67" s="175">
        <f>IFERROR(IF(OR(+AA$59/AA7&lt;0,+AA$59/AA7&gt;=100),"NM",+AA$59/AA7),"N/A")</f>
        <v>11.230400714398423</v>
      </c>
      <c r="Y67" s="176">
        <f>IFERROR(IF(OR(+AA$59/X31&lt;0,+AA$59/X31&gt;=100),"NM",+AA$59/X31),"N/A")</f>
        <v>11.257934914188548</v>
      </c>
      <c r="Z67" s="176">
        <f>IFERROR(IF(OR(+AA$59/Y31&lt;0,+AA$59/Y31&gt;=100),"NM",+AA$59/Y31),"N/A")</f>
        <v>11.116097125286338</v>
      </c>
      <c r="AA67" s="177">
        <f>IFERROR(IF(OR(+AA$59/Z31&lt;0,+AA$59/Z31&gt;=100),"NM",+AA$59/Z31),"N/A")</f>
        <v>11.114433547795196</v>
      </c>
      <c r="AB67" s="245"/>
      <c r="AC67" s="175">
        <f>IFERROR(IF(OR(+AF$59/AF7&lt;0,+AF$59/AF7&gt;=100),"NM",+AF$59/AF7),"N/A")</f>
        <v>36.1157503877712</v>
      </c>
      <c r="AD67" s="176">
        <f>IFERROR(IF(OR(+AF$59/AC31&lt;0,+AF$59/AC31&gt;=100),"NM",+AF$59/AC31),"N/A")</f>
        <v>22.83634006874135</v>
      </c>
      <c r="AE67" s="176">
        <f>IFERROR(IF(OR(+AF$59/AD31&lt;0,+AF$59/AD31&gt;=100),"NM",+AF$59/AD31),"N/A")</f>
        <v>22.407285193480046</v>
      </c>
      <c r="AF67" s="177">
        <f>IFERROR(IF(OR(+AF$59/AE31&lt;0,+AF$59/AE31&gt;=100),"NM",+AF$59/AE31),"N/A")</f>
        <v>22.127194835210958</v>
      </c>
    </row>
    <row r="68" spans="1:32" x14ac:dyDescent="0.45">
      <c r="A68" s="246"/>
      <c r="B68" s="245"/>
      <c r="C68" s="245"/>
      <c r="D68" s="276"/>
      <c r="E68" s="245"/>
      <c r="F68" s="245"/>
      <c r="G68" s="277"/>
      <c r="H68" s="245"/>
      <c r="I68" s="276"/>
      <c r="J68" s="245"/>
      <c r="K68" s="245"/>
      <c r="L68" s="277"/>
      <c r="M68" s="245"/>
      <c r="N68" s="276"/>
      <c r="O68" s="245"/>
      <c r="P68" s="245"/>
      <c r="Q68" s="277"/>
      <c r="R68" s="245"/>
      <c r="S68" s="276"/>
      <c r="T68" s="245"/>
      <c r="U68" s="245"/>
      <c r="V68" s="277"/>
      <c r="W68" s="245"/>
      <c r="X68" s="276"/>
      <c r="Y68" s="245"/>
      <c r="Z68" s="245"/>
      <c r="AA68" s="277"/>
      <c r="AB68" s="245"/>
      <c r="AC68" s="276"/>
      <c r="AD68" s="245"/>
      <c r="AE68" s="245"/>
      <c r="AF68" s="277"/>
    </row>
    <row r="69" spans="1:32" x14ac:dyDescent="0.45">
      <c r="A69" s="246"/>
      <c r="B69" s="245"/>
      <c r="C69" s="245"/>
      <c r="D69" s="182" t="s">
        <v>157</v>
      </c>
      <c r="E69" s="192"/>
      <c r="F69" s="192"/>
      <c r="G69" s="193"/>
      <c r="H69" s="245"/>
      <c r="I69" s="182" t="s">
        <v>157</v>
      </c>
      <c r="J69" s="192"/>
      <c r="K69" s="192"/>
      <c r="L69" s="193"/>
      <c r="M69" s="245"/>
      <c r="N69" s="182" t="s">
        <v>157</v>
      </c>
      <c r="O69" s="192"/>
      <c r="P69" s="192"/>
      <c r="Q69" s="193"/>
      <c r="R69" s="245"/>
      <c r="S69" s="182" t="s">
        <v>157</v>
      </c>
      <c r="T69" s="192"/>
      <c r="U69" s="192"/>
      <c r="V69" s="193"/>
      <c r="W69" s="245"/>
      <c r="X69" s="182" t="s">
        <v>157</v>
      </c>
      <c r="Y69" s="192"/>
      <c r="Z69" s="192"/>
      <c r="AA69" s="193"/>
      <c r="AB69" s="245"/>
      <c r="AC69" s="182" t="s">
        <v>157</v>
      </c>
      <c r="AD69" s="192"/>
      <c r="AE69" s="192"/>
      <c r="AF69" s="193"/>
    </row>
    <row r="70" spans="1:32" x14ac:dyDescent="0.45">
      <c r="A70" s="246"/>
      <c r="B70" s="245"/>
      <c r="C70" s="245"/>
      <c r="D70" s="265"/>
      <c r="E70" s="266"/>
      <c r="F70" s="266"/>
      <c r="G70" s="279"/>
      <c r="H70" s="245"/>
      <c r="I70" s="265"/>
      <c r="J70" s="266"/>
      <c r="K70" s="266"/>
      <c r="L70" s="279"/>
      <c r="M70" s="245"/>
      <c r="N70" s="265"/>
      <c r="O70" s="266"/>
      <c r="P70" s="266"/>
      <c r="Q70" s="279"/>
      <c r="R70" s="245"/>
      <c r="S70" s="265"/>
      <c r="T70" s="266"/>
      <c r="U70" s="266"/>
      <c r="V70" s="279"/>
      <c r="W70" s="245"/>
      <c r="X70" s="265"/>
      <c r="Y70" s="266"/>
      <c r="Z70" s="266"/>
      <c r="AA70" s="279"/>
      <c r="AB70" s="245"/>
      <c r="AC70" s="265"/>
      <c r="AD70" s="266"/>
      <c r="AE70" s="266"/>
      <c r="AF70" s="279"/>
    </row>
    <row r="71" spans="1:32" x14ac:dyDescent="0.45">
      <c r="A71" s="246"/>
      <c r="B71" s="245" t="str">
        <f>TEXT(Forward_Year_1,"yyyy-mm-dd")&amp;" "&amp;B29</f>
        <v>2020-01-31 Revenue:</v>
      </c>
      <c r="C71" s="245"/>
      <c r="D71" s="265"/>
      <c r="E71" s="266"/>
      <c r="F71" s="266"/>
      <c r="G71" s="406">
        <f>+D29</f>
        <v>156372.59</v>
      </c>
      <c r="H71" s="245"/>
      <c r="I71" s="265"/>
      <c r="J71" s="266"/>
      <c r="K71" s="266"/>
      <c r="L71" s="406">
        <f>+I29</f>
        <v>137844.94333333333</v>
      </c>
      <c r="M71" s="245"/>
      <c r="N71" s="265"/>
      <c r="O71" s="266"/>
      <c r="P71" s="266"/>
      <c r="Q71" s="406">
        <f>+N29</f>
        <v>122995.29</v>
      </c>
      <c r="R71" s="245"/>
      <c r="S71" s="265"/>
      <c r="T71" s="266"/>
      <c r="U71" s="266"/>
      <c r="V71" s="406">
        <f>+S29</f>
        <v>78103.89</v>
      </c>
      <c r="W71" s="245"/>
      <c r="X71" s="265"/>
      <c r="Y71" s="266"/>
      <c r="Z71" s="266"/>
      <c r="AA71" s="406">
        <f>+X29</f>
        <v>43593.08</v>
      </c>
      <c r="AB71" s="245"/>
      <c r="AC71" s="265"/>
      <c r="AD71" s="266"/>
      <c r="AE71" s="266"/>
      <c r="AF71" s="406">
        <f>+AC29</f>
        <v>526618.47038822377</v>
      </c>
    </row>
    <row r="72" spans="1:32" x14ac:dyDescent="0.45">
      <c r="A72" s="246"/>
      <c r="B72" s="245" t="str">
        <f>TEXT(Forward_Year_1,"yyyy-mm-dd")&amp;" "&amp;B30</f>
        <v>2020-01-31 EBITDA:</v>
      </c>
      <c r="C72" s="245"/>
      <c r="D72" s="265"/>
      <c r="E72" s="266"/>
      <c r="F72" s="266"/>
      <c r="G72" s="418">
        <f>+D30</f>
        <v>6555.3666666666659</v>
      </c>
      <c r="H72" s="245"/>
      <c r="I72" s="265"/>
      <c r="J72" s="266"/>
      <c r="K72" s="266"/>
      <c r="L72" s="418">
        <f>+I30</f>
        <v>8616.9933333333338</v>
      </c>
      <c r="M72" s="245"/>
      <c r="N72" s="265"/>
      <c r="O72" s="266"/>
      <c r="P72" s="266"/>
      <c r="Q72" s="418">
        <f>+N30</f>
        <v>5401.22</v>
      </c>
      <c r="R72" s="245"/>
      <c r="S72" s="265"/>
      <c r="T72" s="266"/>
      <c r="U72" s="266"/>
      <c r="V72" s="418">
        <f>+S30</f>
        <v>6707.27</v>
      </c>
      <c r="W72" s="245"/>
      <c r="X72" s="265"/>
      <c r="Y72" s="266"/>
      <c r="Z72" s="266"/>
      <c r="AA72" s="418">
        <f>+X30</f>
        <v>2816.29</v>
      </c>
      <c r="AB72" s="245"/>
      <c r="AC72" s="265"/>
      <c r="AD72" s="266"/>
      <c r="AE72" s="266"/>
      <c r="AF72" s="418">
        <f>+AC30</f>
        <v>32012.261824422545</v>
      </c>
    </row>
    <row r="73" spans="1:32" x14ac:dyDescent="0.45">
      <c r="A73" s="246"/>
      <c r="B73" s="245" t="str">
        <f>TEXT(Forward_Year_1,"yyyy-mm-dd")&amp;" "&amp;B31</f>
        <v>2020-01-31 Reported Net Income:</v>
      </c>
      <c r="C73" s="245"/>
      <c r="D73" s="265"/>
      <c r="E73" s="266"/>
      <c r="F73" s="266"/>
      <c r="G73" s="418">
        <f>+D31</f>
        <v>3628.8466666666664</v>
      </c>
      <c r="H73" s="245"/>
      <c r="I73" s="265"/>
      <c r="J73" s="266"/>
      <c r="K73" s="266"/>
      <c r="L73" s="418">
        <f>+I31</f>
        <v>5424.2433333333338</v>
      </c>
      <c r="M73" s="245"/>
      <c r="N73" s="265"/>
      <c r="O73" s="266"/>
      <c r="P73" s="266"/>
      <c r="Q73" s="418">
        <f>+N31</f>
        <v>1747.69</v>
      </c>
      <c r="R73" s="245"/>
      <c r="S73" s="265"/>
      <c r="T73" s="266"/>
      <c r="U73" s="266"/>
      <c r="V73" s="418">
        <f>+S31</f>
        <v>3041</v>
      </c>
      <c r="W73" s="245"/>
      <c r="X73" s="265"/>
      <c r="Y73" s="266"/>
      <c r="Z73" s="266"/>
      <c r="AA73" s="418">
        <f>+X31</f>
        <v>1517.28</v>
      </c>
      <c r="AB73" s="245"/>
      <c r="AC73" s="265"/>
      <c r="AD73" s="266"/>
      <c r="AE73" s="266"/>
      <c r="AF73" s="418">
        <f>+AC31</f>
        <v>13249.83582473967</v>
      </c>
    </row>
    <row r="74" spans="1:32" x14ac:dyDescent="0.45">
      <c r="A74" s="246"/>
      <c r="B74" s="245"/>
      <c r="C74" s="245"/>
      <c r="D74" s="265"/>
      <c r="E74" s="266"/>
      <c r="F74" s="266"/>
      <c r="G74" s="267"/>
      <c r="H74" s="245"/>
      <c r="I74" s="265"/>
      <c r="J74" s="266"/>
      <c r="K74" s="266"/>
      <c r="L74" s="267"/>
      <c r="M74" s="245"/>
      <c r="N74" s="265"/>
      <c r="O74" s="266"/>
      <c r="P74" s="266"/>
      <c r="Q74" s="267"/>
      <c r="R74" s="245"/>
      <c r="S74" s="265"/>
      <c r="T74" s="266"/>
      <c r="U74" s="266"/>
      <c r="V74" s="267"/>
      <c r="W74" s="245"/>
      <c r="X74" s="265"/>
      <c r="Y74" s="266"/>
      <c r="Z74" s="266"/>
      <c r="AA74" s="267"/>
      <c r="AB74" s="245"/>
      <c r="AC74" s="265"/>
      <c r="AD74" s="266"/>
      <c r="AE74" s="266"/>
      <c r="AF74" s="267"/>
    </row>
    <row r="75" spans="1:32" x14ac:dyDescent="0.45">
      <c r="A75" s="246"/>
      <c r="B75" s="245" t="str">
        <f>TEXT(Forward_Year_2,"yyyy-mm-dd")&amp;" "&amp;B29</f>
        <v>2021-01-31 Revenue:</v>
      </c>
      <c r="C75" s="245"/>
      <c r="D75" s="265"/>
      <c r="E75" s="266"/>
      <c r="F75" s="266"/>
      <c r="G75" s="408">
        <f>+E29</f>
        <v>167371.00666666665</v>
      </c>
      <c r="H75" s="245"/>
      <c r="I75" s="265"/>
      <c r="J75" s="266"/>
      <c r="K75" s="266"/>
      <c r="L75" s="408">
        <f>+J29</f>
        <v>141369.60999999999</v>
      </c>
      <c r="M75" s="245"/>
      <c r="N75" s="265"/>
      <c r="O75" s="266"/>
      <c r="P75" s="266"/>
      <c r="Q75" s="408">
        <f>+O29</f>
        <v>126162.86</v>
      </c>
      <c r="R75" s="245"/>
      <c r="S75" s="265"/>
      <c r="T75" s="266"/>
      <c r="U75" s="266"/>
      <c r="V75" s="408">
        <f>+T29</f>
        <v>80472.08</v>
      </c>
      <c r="W75" s="245"/>
      <c r="X75" s="265"/>
      <c r="Y75" s="266"/>
      <c r="Z75" s="266"/>
      <c r="AA75" s="408">
        <f>+Y29</f>
        <v>44218.03</v>
      </c>
      <c r="AB75" s="245"/>
      <c r="AC75" s="265"/>
      <c r="AD75" s="266"/>
      <c r="AE75" s="266"/>
      <c r="AF75" s="408">
        <f>+AD29</f>
        <v>546853.67361168831</v>
      </c>
    </row>
    <row r="76" spans="1:32" x14ac:dyDescent="0.45">
      <c r="A76" s="246"/>
      <c r="B76" s="245" t="str">
        <f>TEXT(Forward_Year_2,"yyyy-mm-dd")&amp;" "&amp;B30</f>
        <v>2021-01-31 EBITDA:</v>
      </c>
      <c r="C76" s="245"/>
      <c r="D76" s="265"/>
      <c r="E76" s="266"/>
      <c r="F76" s="266"/>
      <c r="G76" s="418">
        <f>+E30</f>
        <v>7064.3033333333333</v>
      </c>
      <c r="H76" s="245"/>
      <c r="I76" s="265"/>
      <c r="J76" s="266"/>
      <c r="K76" s="266"/>
      <c r="L76" s="418">
        <f>+J30</f>
        <v>8633.996666666666</v>
      </c>
      <c r="M76" s="245"/>
      <c r="N76" s="265"/>
      <c r="O76" s="266"/>
      <c r="P76" s="266"/>
      <c r="Q76" s="418">
        <f>+O30</f>
        <v>5531.75</v>
      </c>
      <c r="R76" s="245"/>
      <c r="S76" s="265"/>
      <c r="T76" s="266"/>
      <c r="U76" s="266"/>
      <c r="V76" s="418">
        <f>+T30</f>
        <v>6910.57</v>
      </c>
      <c r="W76" s="245"/>
      <c r="X76" s="265"/>
      <c r="Y76" s="266"/>
      <c r="Z76" s="266"/>
      <c r="AA76" s="418">
        <f>+Y30</f>
        <v>2881.21</v>
      </c>
      <c r="AB76" s="245"/>
      <c r="AC76" s="265"/>
      <c r="AD76" s="266"/>
      <c r="AE76" s="266"/>
      <c r="AF76" s="418">
        <f>+AD30</f>
        <v>32725.084253053607</v>
      </c>
    </row>
    <row r="77" spans="1:32" x14ac:dyDescent="0.45">
      <c r="A77" s="246"/>
      <c r="B77" s="245" t="str">
        <f>TEXT(Forward_Year_2,"yyyy-mm-dd")&amp;" "&amp;B31</f>
        <v>2021-01-31 Reported Net Income:</v>
      </c>
      <c r="C77" s="245"/>
      <c r="D77" s="265"/>
      <c r="E77" s="266"/>
      <c r="F77" s="266"/>
      <c r="G77" s="418">
        <f>+E31</f>
        <v>3822.1533333333332</v>
      </c>
      <c r="H77" s="245"/>
      <c r="I77" s="265"/>
      <c r="J77" s="266"/>
      <c r="K77" s="266"/>
      <c r="L77" s="418">
        <f>+J31</f>
        <v>5324.6966666666667</v>
      </c>
      <c r="M77" s="245"/>
      <c r="N77" s="265"/>
      <c r="O77" s="266"/>
      <c r="P77" s="266"/>
      <c r="Q77" s="418">
        <f>+O31</f>
        <v>1825.89</v>
      </c>
      <c r="R77" s="245"/>
      <c r="S77" s="265"/>
      <c r="T77" s="266"/>
      <c r="U77" s="266"/>
      <c r="V77" s="418">
        <f>+T31</f>
        <v>3153.96</v>
      </c>
      <c r="W77" s="245"/>
      <c r="X77" s="265"/>
      <c r="Y77" s="266"/>
      <c r="Z77" s="266"/>
      <c r="AA77" s="418">
        <f>+Y31</f>
        <v>1536.64</v>
      </c>
      <c r="AB77" s="245"/>
      <c r="AC77" s="265"/>
      <c r="AD77" s="266"/>
      <c r="AE77" s="266"/>
      <c r="AF77" s="418">
        <f>+AD31</f>
        <v>13503.543786589087</v>
      </c>
    </row>
    <row r="78" spans="1:32" x14ac:dyDescent="0.45">
      <c r="A78" s="246"/>
      <c r="B78" s="245"/>
      <c r="C78" s="245"/>
      <c r="D78" s="265"/>
      <c r="E78" s="266"/>
      <c r="F78" s="266"/>
      <c r="G78" s="267"/>
      <c r="H78" s="245"/>
      <c r="I78" s="265"/>
      <c r="J78" s="266"/>
      <c r="K78" s="266"/>
      <c r="L78" s="267"/>
      <c r="M78" s="245"/>
      <c r="N78" s="265"/>
      <c r="O78" s="266"/>
      <c r="P78" s="266"/>
      <c r="Q78" s="267"/>
      <c r="R78" s="245"/>
      <c r="S78" s="265"/>
      <c r="T78" s="266"/>
      <c r="U78" s="266"/>
      <c r="V78" s="267"/>
      <c r="W78" s="245"/>
      <c r="X78" s="265"/>
      <c r="Y78" s="266"/>
      <c r="Z78" s="266"/>
      <c r="AA78" s="267"/>
      <c r="AB78" s="245"/>
      <c r="AC78" s="265"/>
      <c r="AD78" s="266"/>
      <c r="AE78" s="266"/>
      <c r="AF78" s="267"/>
    </row>
    <row r="79" spans="1:32" x14ac:dyDescent="0.45">
      <c r="A79" s="246"/>
      <c r="B79" s="245" t="str">
        <f>TEXT(Forward_Year_3,"yyyy-mm-dd")&amp;" "&amp;B29</f>
        <v>2022-01-31 Revenue:</v>
      </c>
      <c r="C79" s="245"/>
      <c r="D79" s="265"/>
      <c r="E79" s="266"/>
      <c r="F79" s="266"/>
      <c r="G79" s="418">
        <f>+F29</f>
        <v>0</v>
      </c>
      <c r="H79" s="245"/>
      <c r="I79" s="265"/>
      <c r="J79" s="266"/>
      <c r="K79" s="266"/>
      <c r="L79" s="418">
        <f>+K29</f>
        <v>0</v>
      </c>
      <c r="M79" s="245"/>
      <c r="N79" s="265"/>
      <c r="O79" s="266"/>
      <c r="P79" s="266"/>
      <c r="Q79" s="418">
        <f>+P29</f>
        <v>129977.78</v>
      </c>
      <c r="R79" s="245"/>
      <c r="S79" s="265"/>
      <c r="T79" s="266"/>
      <c r="U79" s="266"/>
      <c r="V79" s="418">
        <f>+U29</f>
        <v>82235.92</v>
      </c>
      <c r="W79" s="245"/>
      <c r="X79" s="265"/>
      <c r="Y79" s="266"/>
      <c r="Z79" s="266"/>
      <c r="AA79" s="418">
        <f>+Z29</f>
        <v>44813.09</v>
      </c>
      <c r="AB79" s="245"/>
      <c r="AC79" s="265"/>
      <c r="AD79" s="266"/>
      <c r="AE79" s="266"/>
      <c r="AF79" s="418">
        <f>+AE29</f>
        <v>564924.45042496605</v>
      </c>
    </row>
    <row r="80" spans="1:32" x14ac:dyDescent="0.45">
      <c r="A80" s="246"/>
      <c r="B80" s="245" t="str">
        <f>TEXT(Forward_Year_3,"yyyy-mm-dd")&amp;" "&amp;B30</f>
        <v>2022-01-31 EBITDA:</v>
      </c>
      <c r="C80" s="245"/>
      <c r="D80" s="265"/>
      <c r="E80" s="266"/>
      <c r="F80" s="266"/>
      <c r="G80" s="418">
        <f>+F30</f>
        <v>0</v>
      </c>
      <c r="H80" s="245"/>
      <c r="I80" s="265"/>
      <c r="J80" s="266"/>
      <c r="K80" s="266"/>
      <c r="L80" s="418">
        <f>+K30</f>
        <v>0</v>
      </c>
      <c r="M80" s="245"/>
      <c r="N80" s="265"/>
      <c r="O80" s="266"/>
      <c r="P80" s="266"/>
      <c r="Q80" s="418">
        <f>+P30</f>
        <v>5597.94</v>
      </c>
      <c r="R80" s="245"/>
      <c r="S80" s="265"/>
      <c r="T80" s="266"/>
      <c r="U80" s="266"/>
      <c r="V80" s="418">
        <f>+U30</f>
        <v>6737.29</v>
      </c>
      <c r="W80" s="245"/>
      <c r="X80" s="265"/>
      <c r="Y80" s="266"/>
      <c r="Z80" s="266"/>
      <c r="AA80" s="418">
        <f>+Z30</f>
        <v>2846.58</v>
      </c>
      <c r="AB80" s="245"/>
      <c r="AC80" s="265"/>
      <c r="AD80" s="266"/>
      <c r="AE80" s="266"/>
      <c r="AF80" s="418">
        <f>+AE30</f>
        <v>33348.69321851353</v>
      </c>
    </row>
    <row r="81" spans="1:32" x14ac:dyDescent="0.45">
      <c r="A81" s="246"/>
      <c r="B81" s="245" t="str">
        <f>TEXT(Forward_Year_3,"yyyy-mm-dd")&amp;" "&amp;B31</f>
        <v>2022-01-31 Reported Net Income:</v>
      </c>
      <c r="C81" s="245"/>
      <c r="D81" s="265"/>
      <c r="E81" s="266"/>
      <c r="F81" s="266"/>
      <c r="G81" s="418">
        <f>+F31</f>
        <v>0</v>
      </c>
      <c r="H81" s="245"/>
      <c r="I81" s="265"/>
      <c r="J81" s="266"/>
      <c r="K81" s="266"/>
      <c r="L81" s="418">
        <f>+K31</f>
        <v>0</v>
      </c>
      <c r="M81" s="245"/>
      <c r="N81" s="265"/>
      <c r="O81" s="266"/>
      <c r="P81" s="266"/>
      <c r="Q81" s="418">
        <f>+P31</f>
        <v>1830.23</v>
      </c>
      <c r="R81" s="245"/>
      <c r="S81" s="265"/>
      <c r="T81" s="266"/>
      <c r="U81" s="266"/>
      <c r="V81" s="418">
        <f>+U31</f>
        <v>3214.83</v>
      </c>
      <c r="W81" s="245"/>
      <c r="X81" s="265"/>
      <c r="Y81" s="266"/>
      <c r="Z81" s="266"/>
      <c r="AA81" s="418">
        <f>+Z31</f>
        <v>1536.87</v>
      </c>
      <c r="AB81" s="245"/>
      <c r="AC81" s="265"/>
      <c r="AD81" s="266"/>
      <c r="AE81" s="266"/>
      <c r="AF81" s="418">
        <f>+AE31</f>
        <v>13674.474283891414</v>
      </c>
    </row>
    <row r="82" spans="1:32" x14ac:dyDescent="0.45">
      <c r="A82" s="246"/>
      <c r="B82" s="245"/>
      <c r="C82" s="245"/>
      <c r="D82" s="265"/>
      <c r="E82" s="266"/>
      <c r="F82" s="266"/>
      <c r="G82" s="267"/>
      <c r="H82" s="245"/>
      <c r="I82" s="265"/>
      <c r="J82" s="266"/>
      <c r="K82" s="266"/>
      <c r="L82" s="267"/>
      <c r="M82" s="245"/>
      <c r="N82" s="265"/>
      <c r="O82" s="266"/>
      <c r="P82" s="266"/>
      <c r="Q82" s="267"/>
      <c r="R82" s="245"/>
      <c r="S82" s="265"/>
      <c r="T82" s="266"/>
      <c r="U82" s="266"/>
      <c r="V82" s="267"/>
      <c r="W82" s="245"/>
      <c r="X82" s="265"/>
      <c r="Y82" s="266"/>
      <c r="Z82" s="266"/>
      <c r="AA82" s="267"/>
      <c r="AB82" s="245"/>
      <c r="AC82" s="265"/>
      <c r="AD82" s="266"/>
      <c r="AE82" s="266"/>
      <c r="AF82" s="267"/>
    </row>
    <row r="83" spans="1:32" x14ac:dyDescent="0.45">
      <c r="A83" s="246"/>
      <c r="B83" s="509" t="s">
        <v>406</v>
      </c>
      <c r="C83" s="245"/>
      <c r="D83" s="265"/>
      <c r="E83" s="266"/>
      <c r="F83" s="266"/>
      <c r="G83" s="510">
        <f>IFERROR(+G75/G71-1,"N/A")</f>
        <v>7.0334683761819505E-2</v>
      </c>
      <c r="H83" s="245"/>
      <c r="I83" s="265"/>
      <c r="J83" s="266"/>
      <c r="K83" s="266"/>
      <c r="L83" s="510">
        <f>IFERROR(+L75/L71-1,"N/A")</f>
        <v>2.5569792996638308E-2</v>
      </c>
      <c r="M83" s="245"/>
      <c r="N83" s="265"/>
      <c r="O83" s="266"/>
      <c r="P83" s="266"/>
      <c r="Q83" s="510">
        <f>IFERROR(+Q75/Q71-1,"N/A")</f>
        <v>2.5753587799988154E-2</v>
      </c>
      <c r="R83" s="245"/>
      <c r="S83" s="265"/>
      <c r="T83" s="266"/>
      <c r="U83" s="266"/>
      <c r="V83" s="510">
        <f>IFERROR(+V75/V71-1,"N/A")</f>
        <v>3.0321024983518852E-2</v>
      </c>
      <c r="W83" s="245"/>
      <c r="X83" s="265"/>
      <c r="Y83" s="266"/>
      <c r="Z83" s="266"/>
      <c r="AA83" s="510">
        <f>IFERROR(+AA75/AA71-1,"N/A")</f>
        <v>1.4335990941681587E-2</v>
      </c>
      <c r="AB83" s="245"/>
      <c r="AC83" s="265"/>
      <c r="AD83" s="266"/>
      <c r="AE83" s="266"/>
      <c r="AF83" s="510">
        <f>IFERROR(+AF75/AF71-1,"N/A")</f>
        <v>3.842478826947926E-2</v>
      </c>
    </row>
    <row r="84" spans="1:32" x14ac:dyDescent="0.45">
      <c r="A84" s="246"/>
      <c r="B84" s="509" t="s">
        <v>407</v>
      </c>
      <c r="C84" s="245"/>
      <c r="D84" s="265"/>
      <c r="E84" s="266"/>
      <c r="F84" s="266"/>
      <c r="G84" s="510">
        <f>IFERROR(+G76/G72-1,"N/A")</f>
        <v>7.7636643767701852E-2</v>
      </c>
      <c r="H84" s="245"/>
      <c r="I84" s="265"/>
      <c r="J84" s="266"/>
      <c r="K84" s="266"/>
      <c r="L84" s="510">
        <f>IFERROR(+L76/L72-1,"N/A")</f>
        <v>1.9732327362442792E-3</v>
      </c>
      <c r="M84" s="245"/>
      <c r="N84" s="265"/>
      <c r="O84" s="266"/>
      <c r="P84" s="266"/>
      <c r="Q84" s="510">
        <f>IFERROR(+Q76/Q72-1,"N/A")</f>
        <v>2.4166762324067559E-2</v>
      </c>
      <c r="R84" s="245"/>
      <c r="S84" s="265"/>
      <c r="T84" s="266"/>
      <c r="U84" s="266"/>
      <c r="V84" s="510">
        <f>IFERROR(+V76/V72-1,"N/A")</f>
        <v>3.0310394542041541E-2</v>
      </c>
      <c r="W84" s="245"/>
      <c r="X84" s="265"/>
      <c r="Y84" s="266"/>
      <c r="Z84" s="266"/>
      <c r="AA84" s="510">
        <f>IFERROR(+AA76/AA72-1,"N/A")</f>
        <v>2.3051603350507266E-2</v>
      </c>
      <c r="AB84" s="245"/>
      <c r="AC84" s="265"/>
      <c r="AD84" s="266"/>
      <c r="AE84" s="266"/>
      <c r="AF84" s="510">
        <f>IFERROR(+AF76/AF72-1,"N/A")</f>
        <v>2.2267168516260316E-2</v>
      </c>
    </row>
    <row r="85" spans="1:32" x14ac:dyDescent="0.45">
      <c r="A85" s="246"/>
      <c r="B85" s="245"/>
      <c r="C85" s="245"/>
      <c r="D85" s="265"/>
      <c r="E85" s="266"/>
      <c r="F85" s="266"/>
      <c r="G85" s="267"/>
      <c r="H85" s="245"/>
      <c r="I85" s="265"/>
      <c r="J85" s="266"/>
      <c r="K85" s="266"/>
      <c r="L85" s="267"/>
      <c r="M85" s="245"/>
      <c r="N85" s="265"/>
      <c r="O85" s="266"/>
      <c r="P85" s="266"/>
      <c r="Q85" s="267"/>
      <c r="R85" s="245"/>
      <c r="S85" s="265"/>
      <c r="T85" s="266"/>
      <c r="U85" s="266"/>
      <c r="V85" s="267"/>
      <c r="W85" s="245"/>
      <c r="X85" s="265"/>
      <c r="Y85" s="266"/>
      <c r="Z85" s="266"/>
      <c r="AA85" s="267"/>
      <c r="AB85" s="245"/>
      <c r="AC85" s="265"/>
      <c r="AD85" s="266"/>
      <c r="AE85" s="266"/>
      <c r="AF85" s="267"/>
    </row>
    <row r="86" spans="1:32" x14ac:dyDescent="0.45">
      <c r="A86" s="246"/>
      <c r="B86" s="509" t="s">
        <v>408</v>
      </c>
      <c r="C86" s="245"/>
      <c r="D86" s="265"/>
      <c r="E86" s="266"/>
      <c r="F86" s="266"/>
      <c r="G86" s="510">
        <f>IFERROR(+G12/G6,"N/A")</f>
        <v>4.1238904929954016E-2</v>
      </c>
      <c r="H86" s="245"/>
      <c r="I86" s="265"/>
      <c r="J86" s="266"/>
      <c r="K86" s="266"/>
      <c r="L86" s="510">
        <f>IFERROR(+L12/L6,"N/A")</f>
        <v>5.995723638287398E-2</v>
      </c>
      <c r="M86" s="245"/>
      <c r="N86" s="265"/>
      <c r="O86" s="266"/>
      <c r="P86" s="266"/>
      <c r="Q86" s="510">
        <f>IFERROR(+Q12/Q6,"N/A")</f>
        <v>4.1336967959499878E-2</v>
      </c>
      <c r="R86" s="245"/>
      <c r="S86" s="265"/>
      <c r="T86" s="266"/>
      <c r="U86" s="266"/>
      <c r="V86" s="510">
        <f>IFERROR(+V12/V6,"N/A")</f>
        <v>8.7806094328232859E-2</v>
      </c>
      <c r="W86" s="245"/>
      <c r="X86" s="265"/>
      <c r="Y86" s="266"/>
      <c r="Z86" s="266"/>
      <c r="AA86" s="510">
        <f>IFERROR(+AA12/AA6,"N/A")</f>
        <v>6.438758389261745E-2</v>
      </c>
      <c r="AB86" s="245"/>
      <c r="AC86" s="265"/>
      <c r="AD86" s="266"/>
      <c r="AE86" s="266"/>
      <c r="AF86" s="510">
        <f>IFERROR(+AF12/AF6,"N/A")</f>
        <v>6.2954774648979903E-2</v>
      </c>
    </row>
    <row r="87" spans="1:32" x14ac:dyDescent="0.45">
      <c r="A87" s="246"/>
      <c r="B87" s="245" t="str">
        <f>TEXT(Forward_Year_1,"yyyy-mm-dd")&amp;" EBITDA Margin:"</f>
        <v>2020-01-31 EBITDA Margin:</v>
      </c>
      <c r="C87" s="245"/>
      <c r="D87" s="265"/>
      <c r="E87" s="266"/>
      <c r="F87" s="266"/>
      <c r="G87" s="510">
        <f>IFERROR(+G72/G71,"N/A")</f>
        <v>4.1921456098326863E-2</v>
      </c>
      <c r="H87" s="245"/>
      <c r="I87" s="265"/>
      <c r="J87" s="266"/>
      <c r="K87" s="266"/>
      <c r="L87" s="510">
        <f>IFERROR(+L72/L71,"N/A")</f>
        <v>6.2512219345586928E-2</v>
      </c>
      <c r="M87" s="245"/>
      <c r="N87" s="265"/>
      <c r="O87" s="266"/>
      <c r="P87" s="266"/>
      <c r="Q87" s="510">
        <f>IFERROR(+Q72/Q71,"N/A")</f>
        <v>4.3914039309960573E-2</v>
      </c>
      <c r="R87" s="245"/>
      <c r="S87" s="265"/>
      <c r="T87" s="266"/>
      <c r="U87" s="266"/>
      <c r="V87" s="510">
        <f>IFERROR(+V72/V71,"N/A")</f>
        <v>8.5876260452584383E-2</v>
      </c>
      <c r="W87" s="245"/>
      <c r="X87" s="265"/>
      <c r="Y87" s="266"/>
      <c r="Z87" s="266"/>
      <c r="AA87" s="510">
        <f>IFERROR(+AA72/AA71,"N/A")</f>
        <v>6.4604061011518332E-2</v>
      </c>
      <c r="AB87" s="245"/>
      <c r="AC87" s="265"/>
      <c r="AD87" s="266"/>
      <c r="AE87" s="266"/>
      <c r="AF87" s="510">
        <f>IFERROR(+AF72/AF71,"N/A")</f>
        <v>6.0788338473626018E-2</v>
      </c>
    </row>
    <row r="88" spans="1:32" x14ac:dyDescent="0.45">
      <c r="A88" s="246"/>
      <c r="B88" s="245" t="str">
        <f>TEXT(Forward_Year_2,"yyyy-mm-dd")&amp;" EBITDA Margin:"</f>
        <v>2021-01-31 EBITDA Margin:</v>
      </c>
      <c r="C88" s="245"/>
      <c r="D88" s="265"/>
      <c r="E88" s="266"/>
      <c r="F88" s="266"/>
      <c r="G88" s="510">
        <f>IFERROR(+G76/G75,"N/A")</f>
        <v>4.2207449629567469E-2</v>
      </c>
      <c r="H88" s="245"/>
      <c r="I88" s="265"/>
      <c r="J88" s="266"/>
      <c r="K88" s="266"/>
      <c r="L88" s="510">
        <f>IFERROR(+L76/L75,"N/A")</f>
        <v>6.1073922936242572E-2</v>
      </c>
      <c r="M88" s="245"/>
      <c r="N88" s="265"/>
      <c r="O88" s="266"/>
      <c r="P88" s="266"/>
      <c r="Q88" s="510">
        <f>IFERROR(+Q76/Q75,"N/A")</f>
        <v>4.3846104947208711E-2</v>
      </c>
      <c r="R88" s="245"/>
      <c r="S88" s="265"/>
      <c r="T88" s="266"/>
      <c r="U88" s="266"/>
      <c r="V88" s="510">
        <f>IFERROR(+V76/V75,"N/A")</f>
        <v>8.5875374415573691E-2</v>
      </c>
      <c r="W88" s="245"/>
      <c r="X88" s="265"/>
      <c r="Y88" s="266"/>
      <c r="Z88" s="266"/>
      <c r="AA88" s="510">
        <f>IFERROR(+AA76/AA75,"N/A")</f>
        <v>6.5159166973291216E-2</v>
      </c>
      <c r="AB88" s="245"/>
      <c r="AC88" s="265"/>
      <c r="AD88" s="266"/>
      <c r="AE88" s="266"/>
      <c r="AF88" s="510">
        <f>IFERROR(+AF76/AF75,"N/A")</f>
        <v>5.9842487729708738E-2</v>
      </c>
    </row>
    <row r="89" spans="1:32" x14ac:dyDescent="0.45">
      <c r="A89" s="246"/>
      <c r="B89" s="245"/>
      <c r="C89" s="245"/>
      <c r="D89" s="265"/>
      <c r="E89" s="266"/>
      <c r="F89" s="266"/>
      <c r="G89" s="267"/>
      <c r="H89" s="245"/>
      <c r="I89" s="265"/>
      <c r="J89" s="266"/>
      <c r="K89" s="266"/>
      <c r="L89" s="267"/>
      <c r="M89" s="245"/>
      <c r="N89" s="265"/>
      <c r="O89" s="266"/>
      <c r="P89" s="266"/>
      <c r="Q89" s="267"/>
      <c r="R89" s="245"/>
      <c r="S89" s="265"/>
      <c r="T89" s="266"/>
      <c r="U89" s="266"/>
      <c r="V89" s="267"/>
      <c r="W89" s="245"/>
      <c r="X89" s="265"/>
      <c r="Y89" s="266"/>
      <c r="Z89" s="266"/>
      <c r="AA89" s="267"/>
      <c r="AB89" s="245"/>
      <c r="AC89" s="265"/>
      <c r="AD89" s="266"/>
      <c r="AE89" s="266"/>
      <c r="AF89" s="267"/>
    </row>
    <row r="90" spans="1:32" x14ac:dyDescent="0.45">
      <c r="A90" s="246"/>
      <c r="B90" s="245" t="str">
        <f>TEXT(D64,"mm/dd/yyyy")&amp;" "&amp;B65</f>
        <v>LTM EV / Revenue:</v>
      </c>
      <c r="C90" s="245"/>
      <c r="D90" s="265"/>
      <c r="E90" s="266"/>
      <c r="F90" s="266"/>
      <c r="G90" s="178">
        <f>+D65</f>
        <v>0.74067679101874129</v>
      </c>
      <c r="H90" s="245"/>
      <c r="I90" s="265"/>
      <c r="J90" s="266"/>
      <c r="K90" s="266"/>
      <c r="L90" s="178">
        <f>+I65</f>
        <v>0.42465272488328176</v>
      </c>
      <c r="M90" s="245"/>
      <c r="N90" s="265"/>
      <c r="O90" s="266"/>
      <c r="P90" s="266"/>
      <c r="Q90" s="178">
        <f>+N65</f>
        <v>0.26236852660143284</v>
      </c>
      <c r="R90" s="245"/>
      <c r="S90" s="265"/>
      <c r="T90" s="266"/>
      <c r="U90" s="266"/>
      <c r="V90" s="178">
        <f>+S65</f>
        <v>0.73330521079761701</v>
      </c>
      <c r="W90" s="245"/>
      <c r="X90" s="265"/>
      <c r="Y90" s="266"/>
      <c r="Z90" s="266"/>
      <c r="AA90" s="178">
        <f>+X65</f>
        <v>0.39169794257779478</v>
      </c>
      <c r="AB90" s="245"/>
      <c r="AC90" s="265"/>
      <c r="AD90" s="266"/>
      <c r="AE90" s="266"/>
      <c r="AF90" s="178">
        <f>+AC65</f>
        <v>0.68256022562451546</v>
      </c>
    </row>
    <row r="91" spans="1:32" x14ac:dyDescent="0.45">
      <c r="A91" s="246"/>
      <c r="B91" s="245" t="str">
        <f>TEXT(D64,"mm/dd/yyyy")&amp;" "&amp;B66</f>
        <v>LTM EV / EBITDA:</v>
      </c>
      <c r="C91" s="245"/>
      <c r="D91" s="265"/>
      <c r="E91" s="266"/>
      <c r="F91" s="266"/>
      <c r="G91" s="178">
        <f>+D66</f>
        <v>17.960631890609399</v>
      </c>
      <c r="H91" s="245"/>
      <c r="I91" s="265"/>
      <c r="J91" s="266"/>
      <c r="K91" s="266"/>
      <c r="L91" s="178">
        <f>+I66</f>
        <v>7.0825933699068626</v>
      </c>
      <c r="M91" s="245"/>
      <c r="N91" s="265"/>
      <c r="O91" s="266"/>
      <c r="P91" s="266"/>
      <c r="Q91" s="178">
        <f>+N66</f>
        <v>6.347067517348874</v>
      </c>
      <c r="R91" s="245"/>
      <c r="S91" s="265"/>
      <c r="T91" s="266"/>
      <c r="U91" s="266"/>
      <c r="V91" s="178">
        <f>+S66</f>
        <v>8.3514158830070251</v>
      </c>
      <c r="W91" s="245"/>
      <c r="X91" s="265"/>
      <c r="Y91" s="266"/>
      <c r="Z91" s="266"/>
      <c r="AA91" s="178">
        <f>+X66</f>
        <v>6.0834390560616463</v>
      </c>
      <c r="AB91" s="245"/>
      <c r="AC91" s="265"/>
      <c r="AD91" s="266"/>
      <c r="AE91" s="266"/>
      <c r="AF91" s="178">
        <f>+AC66</f>
        <v>10.842072415163118</v>
      </c>
    </row>
    <row r="92" spans="1:32" x14ac:dyDescent="0.45">
      <c r="A92" s="246"/>
      <c r="B92" s="245" t="str">
        <f>TEXT(D64,"mm/dd/yyyy")&amp;" "&amp;B67</f>
        <v>LTM P / E:</v>
      </c>
      <c r="C92" s="245"/>
      <c r="D92" s="265"/>
      <c r="E92" s="266"/>
      <c r="F92" s="266"/>
      <c r="G92" s="178">
        <f>+D67</f>
        <v>31.101553055495145</v>
      </c>
      <c r="H92" s="245"/>
      <c r="I92" s="265"/>
      <c r="J92" s="266"/>
      <c r="K92" s="266"/>
      <c r="L92" s="178">
        <f>+I67</f>
        <v>9.0806471650964351</v>
      </c>
      <c r="M92" s="245"/>
      <c r="N92" s="265"/>
      <c r="O92" s="266"/>
      <c r="P92" s="266"/>
      <c r="Q92" s="178">
        <f>+N67</f>
        <v>10.229092070743533</v>
      </c>
      <c r="R92" s="245"/>
      <c r="S92" s="265"/>
      <c r="T92" s="266"/>
      <c r="U92" s="266"/>
      <c r="V92" s="178">
        <f>+S67</f>
        <v>14.799709247909757</v>
      </c>
      <c r="W92" s="245"/>
      <c r="X92" s="265"/>
      <c r="Y92" s="266"/>
      <c r="Z92" s="266"/>
      <c r="AA92" s="178">
        <f>+X67</f>
        <v>11.230400714398423</v>
      </c>
      <c r="AB92" s="245"/>
      <c r="AC92" s="265"/>
      <c r="AD92" s="266"/>
      <c r="AE92" s="266"/>
      <c r="AF92" s="178">
        <f>+AC67</f>
        <v>36.1157503877712</v>
      </c>
    </row>
    <row r="93" spans="1:32" x14ac:dyDescent="0.45">
      <c r="A93" s="246"/>
      <c r="B93" s="245"/>
      <c r="C93" s="245"/>
      <c r="D93" s="265"/>
      <c r="E93" s="266"/>
      <c r="F93" s="266"/>
      <c r="G93" s="267"/>
      <c r="H93" s="245"/>
      <c r="I93" s="265"/>
      <c r="J93" s="266"/>
      <c r="K93" s="266"/>
      <c r="L93" s="267"/>
      <c r="M93" s="245"/>
      <c r="N93" s="265"/>
      <c r="O93" s="266"/>
      <c r="P93" s="266"/>
      <c r="Q93" s="267"/>
      <c r="R93" s="245"/>
      <c r="S93" s="265"/>
      <c r="T93" s="266"/>
      <c r="U93" s="266"/>
      <c r="V93" s="267"/>
      <c r="W93" s="245"/>
      <c r="X93" s="265"/>
      <c r="Y93" s="266"/>
      <c r="Z93" s="266"/>
      <c r="AA93" s="267"/>
      <c r="AB93" s="245"/>
      <c r="AC93" s="265"/>
      <c r="AD93" s="266"/>
      <c r="AE93" s="266"/>
      <c r="AF93" s="267"/>
    </row>
    <row r="94" spans="1:32" x14ac:dyDescent="0.45">
      <c r="A94" s="246"/>
      <c r="B94" s="245" t="str">
        <f>TEXT(Forward_Year_1,"yyyy-mm-dd")&amp;" "&amp;B65</f>
        <v>2020-01-31 EV / Revenue:</v>
      </c>
      <c r="C94" s="245"/>
      <c r="D94" s="265"/>
      <c r="E94" s="266"/>
      <c r="F94" s="266"/>
      <c r="G94" s="178">
        <f>+E65</f>
        <v>0.70867342393612587</v>
      </c>
      <c r="H94" s="245"/>
      <c r="I94" s="265"/>
      <c r="J94" s="266"/>
      <c r="K94" s="266"/>
      <c r="L94" s="178">
        <f>+J65</f>
        <v>0.41926791437451594</v>
      </c>
      <c r="M94" s="245"/>
      <c r="N94" s="265"/>
      <c r="O94" s="266"/>
      <c r="P94" s="266"/>
      <c r="Q94" s="178">
        <f>+O65</f>
        <v>0.25745310933494714</v>
      </c>
      <c r="R94" s="245"/>
      <c r="S94" s="265"/>
      <c r="T94" s="266"/>
      <c r="U94" s="266"/>
      <c r="V94" s="178">
        <f>+T65</f>
        <v>0.71544866296928367</v>
      </c>
      <c r="W94" s="245"/>
      <c r="X94" s="265"/>
      <c r="Y94" s="266"/>
      <c r="Z94" s="266"/>
      <c r="AA94" s="178">
        <f>+Y65</f>
        <v>0.38557821819193155</v>
      </c>
      <c r="AB94" s="245"/>
      <c r="AC94" s="265"/>
      <c r="AD94" s="266"/>
      <c r="AE94" s="266"/>
      <c r="AF94" s="178">
        <f>+AD65</f>
        <v>0.66833082113804942</v>
      </c>
    </row>
    <row r="95" spans="1:32" x14ac:dyDescent="0.45">
      <c r="A95" s="246"/>
      <c r="B95" s="245" t="str">
        <f>TEXT(Forward_Year_1,"yyyy-mm-dd")&amp;" "&amp;B66</f>
        <v>2020-01-31 EV / EBITDA:</v>
      </c>
      <c r="C95" s="245"/>
      <c r="D95" s="265"/>
      <c r="E95" s="266"/>
      <c r="F95" s="266"/>
      <c r="G95" s="178">
        <f>+E66</f>
        <v>16.904790288627641</v>
      </c>
      <c r="H95" s="245"/>
      <c r="I95" s="265"/>
      <c r="J95" s="266"/>
      <c r="K95" s="266"/>
      <c r="L95" s="178">
        <f>+J66</f>
        <v>6.706975352397472</v>
      </c>
      <c r="M95" s="245"/>
      <c r="N95" s="265"/>
      <c r="O95" s="266"/>
      <c r="P95" s="266"/>
      <c r="Q95" s="178">
        <f>+O66</f>
        <v>5.8626606292751511</v>
      </c>
      <c r="R95" s="245"/>
      <c r="S95" s="265"/>
      <c r="T95" s="266"/>
      <c r="U95" s="266"/>
      <c r="V95" s="178">
        <f>+T66</f>
        <v>8.3311576354015866</v>
      </c>
      <c r="W95" s="245"/>
      <c r="X95" s="265"/>
      <c r="Y95" s="266"/>
      <c r="Z95" s="266"/>
      <c r="AA95" s="178">
        <f>+Y66</f>
        <v>5.9683278752892379</v>
      </c>
      <c r="AB95" s="245"/>
      <c r="AC95" s="265"/>
      <c r="AD95" s="266"/>
      <c r="AE95" s="266"/>
      <c r="AF95" s="178">
        <f>+AD66</f>
        <v>10.994391982403258</v>
      </c>
    </row>
    <row r="96" spans="1:32" x14ac:dyDescent="0.45">
      <c r="A96" s="246"/>
      <c r="B96" s="245" t="str">
        <f>TEXT(Forward_Year_1,"yyyy-mm-dd")&amp;" "&amp;B67</f>
        <v>2020-01-31 P / E:</v>
      </c>
      <c r="C96" s="245"/>
      <c r="D96" s="265"/>
      <c r="E96" s="266"/>
      <c r="F96" s="266"/>
      <c r="G96" s="178">
        <f>+E67</f>
        <v>30.897171763956226</v>
      </c>
      <c r="H96" s="245"/>
      <c r="I96" s="265"/>
      <c r="J96" s="266"/>
      <c r="K96" s="266"/>
      <c r="L96" s="178">
        <f>+J67</f>
        <v>8.5930809209837555</v>
      </c>
      <c r="M96" s="245"/>
      <c r="N96" s="265"/>
      <c r="O96" s="266"/>
      <c r="P96" s="266"/>
      <c r="Q96" s="178">
        <f>+O67</f>
        <v>10.863021979470043</v>
      </c>
      <c r="R96" s="245"/>
      <c r="S96" s="265"/>
      <c r="T96" s="266"/>
      <c r="U96" s="266"/>
      <c r="V96" s="178">
        <f>+T67</f>
        <v>14.668307686024336</v>
      </c>
      <c r="W96" s="245"/>
      <c r="X96" s="265"/>
      <c r="Y96" s="266"/>
      <c r="Z96" s="266"/>
      <c r="AA96" s="178">
        <f>+Y67</f>
        <v>11.257934914188548</v>
      </c>
      <c r="AB96" s="245"/>
      <c r="AC96" s="265"/>
      <c r="AD96" s="266"/>
      <c r="AE96" s="266"/>
      <c r="AF96" s="178">
        <f>+AD67</f>
        <v>22.83634006874135</v>
      </c>
    </row>
    <row r="97" spans="1:32" x14ac:dyDescent="0.45">
      <c r="A97" s="246"/>
      <c r="B97" s="245"/>
      <c r="C97" s="245"/>
      <c r="D97" s="265"/>
      <c r="E97" s="266"/>
      <c r="F97" s="266"/>
      <c r="G97" s="267"/>
      <c r="H97" s="245"/>
      <c r="I97" s="265"/>
      <c r="J97" s="266"/>
      <c r="K97" s="266"/>
      <c r="L97" s="267"/>
      <c r="M97" s="245"/>
      <c r="N97" s="265"/>
      <c r="O97" s="266"/>
      <c r="P97" s="266"/>
      <c r="Q97" s="267"/>
      <c r="R97" s="245"/>
      <c r="S97" s="265"/>
      <c r="T97" s="266"/>
      <c r="U97" s="266"/>
      <c r="V97" s="267"/>
      <c r="W97" s="245"/>
      <c r="X97" s="265"/>
      <c r="Y97" s="266"/>
      <c r="Z97" s="266"/>
      <c r="AA97" s="267"/>
      <c r="AB97" s="245"/>
      <c r="AC97" s="265"/>
      <c r="AD97" s="266"/>
      <c r="AE97" s="266"/>
      <c r="AF97" s="267"/>
    </row>
    <row r="98" spans="1:32" x14ac:dyDescent="0.45">
      <c r="A98" s="246"/>
      <c r="B98" s="245" t="str">
        <f>TEXT(Forward_Year_2,"yyyy-mm-dd")&amp;" "&amp;B65</f>
        <v>2021-01-31 EV / Revenue:</v>
      </c>
      <c r="C98" s="245"/>
      <c r="D98" s="265"/>
      <c r="E98" s="266"/>
      <c r="F98" s="266"/>
      <c r="G98" s="178">
        <f>+F65</f>
        <v>0.66210451243662238</v>
      </c>
      <c r="H98" s="245"/>
      <c r="I98" s="265"/>
      <c r="J98" s="266"/>
      <c r="K98" s="266"/>
      <c r="L98" s="178">
        <f>+K65</f>
        <v>0.4088146094372051</v>
      </c>
      <c r="M98" s="245"/>
      <c r="N98" s="265"/>
      <c r="O98" s="266"/>
      <c r="P98" s="266"/>
      <c r="Q98" s="178">
        <f>+P65</f>
        <v>0.25098923600854905</v>
      </c>
      <c r="R98" s="245"/>
      <c r="S98" s="265"/>
      <c r="T98" s="266"/>
      <c r="U98" s="266"/>
      <c r="V98" s="178">
        <f>+U65</f>
        <v>0.69439392734970939</v>
      </c>
      <c r="W98" s="245"/>
      <c r="X98" s="265"/>
      <c r="Y98" s="266"/>
      <c r="Z98" s="266"/>
      <c r="AA98" s="178">
        <f>+Z65</f>
        <v>0.38012869664022414</v>
      </c>
      <c r="AB98" s="245"/>
      <c r="AC98" s="265"/>
      <c r="AD98" s="266"/>
      <c r="AE98" s="266"/>
      <c r="AF98" s="178">
        <f>+AE65</f>
        <v>0.64360060419186793</v>
      </c>
    </row>
    <row r="99" spans="1:32" x14ac:dyDescent="0.45">
      <c r="A99" s="246"/>
      <c r="B99" s="245" t="str">
        <f>TEXT(Forward_Year_2,"yyyy-mm-dd")&amp;" "&amp;B66</f>
        <v>2021-01-31 EV / EBITDA:</v>
      </c>
      <c r="C99" s="245"/>
      <c r="D99" s="265"/>
      <c r="E99" s="266"/>
      <c r="F99" s="266"/>
      <c r="G99" s="178">
        <f>+F66</f>
        <v>15.686911155437361</v>
      </c>
      <c r="H99" s="245"/>
      <c r="I99" s="265"/>
      <c r="J99" s="266"/>
      <c r="K99" s="266"/>
      <c r="L99" s="178">
        <f>+K66</f>
        <v>6.6937669922395928</v>
      </c>
      <c r="M99" s="245"/>
      <c r="N99" s="265"/>
      <c r="O99" s="266"/>
      <c r="P99" s="266"/>
      <c r="Q99" s="178">
        <f>+P66</f>
        <v>5.7243222929549473</v>
      </c>
      <c r="R99" s="245"/>
      <c r="S99" s="265"/>
      <c r="T99" s="266"/>
      <c r="U99" s="266"/>
      <c r="V99" s="178">
        <f>+U66</f>
        <v>8.0860657909839571</v>
      </c>
      <c r="W99" s="245"/>
      <c r="X99" s="265"/>
      <c r="Y99" s="266"/>
      <c r="Z99" s="266"/>
      <c r="AA99" s="178">
        <f>+Z66</f>
        <v>5.83384831785893</v>
      </c>
      <c r="AB99" s="245"/>
      <c r="AC99" s="265"/>
      <c r="AD99" s="266"/>
      <c r="AE99" s="266"/>
      <c r="AF99" s="178">
        <f>+AE66</f>
        <v>10.754910576225143</v>
      </c>
    </row>
    <row r="100" spans="1:32" x14ac:dyDescent="0.45">
      <c r="A100" s="246"/>
      <c r="B100" s="245" t="str">
        <f>TEXT(Forward_Year_2,"yyyy-mm-dd")&amp;" "&amp;B67</f>
        <v>2021-01-31 P / E:</v>
      </c>
      <c r="C100" s="245"/>
      <c r="D100" s="274"/>
      <c r="E100" s="275"/>
      <c r="F100" s="275"/>
      <c r="G100" s="178">
        <f>+F67</f>
        <v>29.334537101701834</v>
      </c>
      <c r="H100" s="245"/>
      <c r="I100" s="274"/>
      <c r="J100" s="275"/>
      <c r="K100" s="275"/>
      <c r="L100" s="178">
        <f>+K67</f>
        <v>8.7537309289806178</v>
      </c>
      <c r="M100" s="245"/>
      <c r="N100" s="274"/>
      <c r="O100" s="275"/>
      <c r="P100" s="275"/>
      <c r="Q100" s="178">
        <f>+P67</f>
        <v>10.397775815246263</v>
      </c>
      <c r="R100" s="245"/>
      <c r="S100" s="274"/>
      <c r="T100" s="275"/>
      <c r="U100" s="275"/>
      <c r="V100" s="178">
        <f>+U67</f>
        <v>14.14295795545917</v>
      </c>
      <c r="W100" s="245"/>
      <c r="X100" s="274"/>
      <c r="Y100" s="275"/>
      <c r="Z100" s="275"/>
      <c r="AA100" s="178">
        <f>+Z67</f>
        <v>11.116097125286338</v>
      </c>
      <c r="AB100" s="245"/>
      <c r="AC100" s="274"/>
      <c r="AD100" s="275"/>
      <c r="AE100" s="275"/>
      <c r="AF100" s="178">
        <f>+AE67</f>
        <v>22.407285193480046</v>
      </c>
    </row>
    <row r="101" spans="1:32" s="200" customFormat="1" x14ac:dyDescent="0.45">
      <c r="A101" s="246"/>
      <c r="B101" s="245"/>
      <c r="C101" s="245"/>
      <c r="D101" s="245"/>
      <c r="E101" s="245"/>
      <c r="F101" s="245"/>
      <c r="G101" s="245"/>
      <c r="H101" s="245"/>
      <c r="I101" s="245"/>
      <c r="J101" s="245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  <c r="AB101" s="245"/>
      <c r="AC101" s="245"/>
      <c r="AD101" s="245"/>
      <c r="AE101" s="245"/>
      <c r="AF101" s="245"/>
    </row>
    <row r="102" spans="1:32" s="200" customFormat="1" x14ac:dyDescent="0.45">
      <c r="A102" s="246"/>
      <c r="B102" s="38" t="s">
        <v>155</v>
      </c>
      <c r="C102" s="245"/>
      <c r="D102" s="121"/>
      <c r="E102" s="245"/>
      <c r="F102" s="245"/>
      <c r="G102" s="405" t="s">
        <v>340</v>
      </c>
      <c r="H102" s="245"/>
      <c r="I102" s="121"/>
      <c r="J102" s="245"/>
      <c r="K102" s="245"/>
      <c r="L102" s="405" t="s">
        <v>341</v>
      </c>
      <c r="M102" s="245"/>
      <c r="N102" s="121"/>
      <c r="O102" s="245"/>
      <c r="P102" s="245"/>
      <c r="Q102" s="405" t="s">
        <v>342</v>
      </c>
      <c r="R102" s="245"/>
      <c r="S102" s="121"/>
      <c r="T102" s="245"/>
      <c r="U102" s="245"/>
      <c r="V102" s="405" t="s">
        <v>343</v>
      </c>
      <c r="W102" s="245"/>
      <c r="X102" s="121"/>
      <c r="Y102" s="245"/>
      <c r="Z102" s="245"/>
      <c r="AA102" s="405" t="s">
        <v>344</v>
      </c>
      <c r="AB102" s="245"/>
      <c r="AC102" s="121"/>
      <c r="AD102" s="245"/>
      <c r="AE102" s="245"/>
      <c r="AF102" s="405" t="s">
        <v>347</v>
      </c>
    </row>
    <row r="103" spans="1:32" s="200" customFormat="1" x14ac:dyDescent="0.45"/>
    <row r="104" spans="1:32" s="200" customFormat="1" x14ac:dyDescent="0.45"/>
    <row r="105" spans="1:32" s="200" customFormat="1" x14ac:dyDescent="0.45"/>
  </sheetData>
  <hyperlinks>
    <hyperlink ref="G102" r:id="rId1" xr:uid="{70E6C2C6-27DD-4BF1-A073-C90374236B2A}"/>
    <hyperlink ref="L102" r:id="rId2" xr:uid="{364CDC17-70DA-4F27-9A41-ACDDCAC408E9}"/>
    <hyperlink ref="Q102" r:id="rId3" xr:uid="{E16FC5CA-D991-4FDF-9E33-3DE834C35C29}"/>
    <hyperlink ref="V102" r:id="rId4" xr:uid="{9C4C85EA-D911-4FD5-B89E-CA68493CEE5E}"/>
    <hyperlink ref="AA102" r:id="rId5" xr:uid="{F8E399E1-5484-4DEE-BC67-335C4CCDA844}"/>
    <hyperlink ref="AF102" r:id="rId6" xr:uid="{0F44727D-D54A-4165-91C8-ACE77A14E287}"/>
  </hyperlinks>
  <pageMargins left="0.7" right="0.7" top="0.75" bottom="0.75" header="0.3" footer="0.3"/>
  <pageSetup scale="53" fitToWidth="0" orientation="landscape" r:id="rId7"/>
  <headerFooter>
    <oddHeader>&amp;LWalmart Valuation - &amp;CData for Comparable Public Companies</oddHeader>
    <oddFooter>Page &amp;P of &amp;N</oddFooter>
  </headerFooter>
  <rowBreaks count="1" manualBreakCount="1">
    <brk id="56" max="31" man="1"/>
  </rowBreaks>
  <colBreaks count="2" manualBreakCount="2">
    <brk id="17" max="102" man="1"/>
    <brk id="32" max="102" man="1"/>
  </colBreaks>
  <legacyDrawing r:id="rId8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B2B2B2"/>
    <pageSetUpPr autoPageBreaks="0"/>
  </sheetPr>
  <dimension ref="B2:AE37"/>
  <sheetViews>
    <sheetView showGridLines="0" zoomScaleNormal="100" workbookViewId="0">
      <selection activeCell="B2" sqref="B2"/>
    </sheetView>
  </sheetViews>
  <sheetFormatPr defaultColWidth="9.15234375" defaultRowHeight="15.9" outlineLevelCol="1" x14ac:dyDescent="0.45"/>
  <cols>
    <col min="1" max="1" width="2.69140625" style="25" customWidth="1"/>
    <col min="2" max="2" width="36" style="25" bestFit="1" customWidth="1"/>
    <col min="3" max="3" width="35.3046875" style="25" bestFit="1" customWidth="1"/>
    <col min="4" max="4" width="11.4609375" style="25" bestFit="1" customWidth="1"/>
    <col min="5" max="5" width="12.3046875" style="25" bestFit="1" customWidth="1"/>
    <col min="6" max="6" width="11.3046875" style="25" bestFit="1" customWidth="1"/>
    <col min="7" max="9" width="10.15234375" style="25" customWidth="1"/>
    <col min="10" max="13" width="10.15234375" style="25" hidden="1" customWidth="1" outlineLevel="1"/>
    <col min="14" max="14" width="10.15234375" style="25" customWidth="1" collapsed="1"/>
    <col min="15" max="16" width="10.15234375" style="25" customWidth="1"/>
    <col min="17" max="17" width="2.69140625" style="285" customWidth="1"/>
    <col min="18" max="18" width="2.69140625" style="25" customWidth="1"/>
    <col min="19" max="27" width="10.69140625" style="25" customWidth="1"/>
    <col min="28" max="16384" width="9.15234375" style="25"/>
  </cols>
  <sheetData>
    <row r="2" spans="2:17" ht="18.45" x14ac:dyDescent="0.5">
      <c r="B2" s="286" t="s">
        <v>357</v>
      </c>
      <c r="C2" s="28"/>
      <c r="D2" s="28"/>
    </row>
    <row r="3" spans="2:17" ht="18.45" x14ac:dyDescent="0.5">
      <c r="B3" s="286" t="s">
        <v>420</v>
      </c>
      <c r="C3" s="28"/>
      <c r="D3" s="28"/>
    </row>
    <row r="4" spans="2:17" x14ac:dyDescent="0.45">
      <c r="B4" s="25" t="str">
        <f>+WMT_Model!$B$3</f>
        <v>($ in Millions Except Per Share and Per Unit Data)</v>
      </c>
    </row>
    <row r="6" spans="2:17" x14ac:dyDescent="0.45">
      <c r="B6" s="48" t="str">
        <f>Company_Name&amp;" - Comparable M&amp;A Transactions"</f>
        <v>Walmart Inc. - Comparable M&amp;A Transactions</v>
      </c>
      <c r="C6" s="48"/>
      <c r="D6" s="48"/>
      <c r="E6" s="49"/>
      <c r="F6" s="87" t="s">
        <v>65</v>
      </c>
      <c r="G6" s="115"/>
      <c r="H6" s="87" t="s">
        <v>61</v>
      </c>
      <c r="I6" s="87"/>
      <c r="J6" s="282"/>
      <c r="K6" s="87" t="s">
        <v>176</v>
      </c>
      <c r="L6" s="87"/>
      <c r="M6" s="87"/>
      <c r="N6" s="87" t="s">
        <v>163</v>
      </c>
      <c r="O6" s="87"/>
      <c r="P6" s="87"/>
    </row>
    <row r="7" spans="2:17" x14ac:dyDescent="0.45">
      <c r="B7" s="48"/>
      <c r="C7" s="48"/>
      <c r="D7" s="48"/>
      <c r="E7" s="49" t="s">
        <v>66</v>
      </c>
      <c r="F7" s="87"/>
      <c r="G7" s="115"/>
      <c r="H7" s="49" t="s">
        <v>67</v>
      </c>
      <c r="I7" s="49" t="s">
        <v>67</v>
      </c>
      <c r="J7" s="49"/>
      <c r="K7" s="87"/>
      <c r="L7" s="87"/>
      <c r="M7" s="87"/>
      <c r="N7" s="49"/>
      <c r="O7" s="49"/>
      <c r="P7" s="49"/>
    </row>
    <row r="8" spans="2:17" x14ac:dyDescent="0.45">
      <c r="B8" s="89"/>
      <c r="C8" s="89"/>
      <c r="D8" s="49"/>
      <c r="E8" s="49" t="s">
        <v>27</v>
      </c>
      <c r="F8" s="49" t="s">
        <v>20</v>
      </c>
      <c r="G8" s="49" t="s">
        <v>20</v>
      </c>
      <c r="H8" s="49" t="s">
        <v>20</v>
      </c>
      <c r="I8" s="49" t="s">
        <v>20</v>
      </c>
      <c r="J8" s="49" t="s">
        <v>177</v>
      </c>
      <c r="K8" s="49" t="s">
        <v>164</v>
      </c>
      <c r="L8" s="49" t="s">
        <v>166</v>
      </c>
      <c r="M8" s="49" t="s">
        <v>167</v>
      </c>
      <c r="N8" s="49" t="s">
        <v>164</v>
      </c>
      <c r="O8" s="49" t="s">
        <v>166</v>
      </c>
      <c r="P8" s="49" t="s">
        <v>167</v>
      </c>
    </row>
    <row r="9" spans="2:17" x14ac:dyDescent="0.45">
      <c r="B9" s="51" t="s">
        <v>68</v>
      </c>
      <c r="C9" s="51" t="s">
        <v>69</v>
      </c>
      <c r="D9" s="51" t="s">
        <v>70</v>
      </c>
      <c r="E9" s="51" t="s">
        <v>34</v>
      </c>
      <c r="F9" s="51" t="s">
        <v>28</v>
      </c>
      <c r="G9" s="51" t="s">
        <v>29</v>
      </c>
      <c r="H9" s="51" t="s">
        <v>28</v>
      </c>
      <c r="I9" s="51" t="s">
        <v>29</v>
      </c>
      <c r="J9" s="51" t="s">
        <v>33</v>
      </c>
      <c r="K9" s="51" t="s">
        <v>165</v>
      </c>
      <c r="L9" s="51" t="s">
        <v>165</v>
      </c>
      <c r="M9" s="51" t="s">
        <v>165</v>
      </c>
      <c r="N9" s="51" t="s">
        <v>165</v>
      </c>
      <c r="O9" s="51" t="s">
        <v>165</v>
      </c>
      <c r="P9" s="51" t="s">
        <v>165</v>
      </c>
    </row>
    <row r="10" spans="2:17" x14ac:dyDescent="0.45">
      <c r="B10" s="116" t="s">
        <v>368</v>
      </c>
      <c r="C10" s="116" t="s">
        <v>367</v>
      </c>
      <c r="D10" s="117">
        <v>40723</v>
      </c>
      <c r="E10" s="462">
        <v>2626.74</v>
      </c>
      <c r="F10" s="462">
        <v>11134.4</v>
      </c>
      <c r="G10" s="462">
        <v>385.4</v>
      </c>
      <c r="H10" s="229">
        <f t="shared" ref="H10:I15" si="0">IFERROR(IF(OR(+$E10/F10&lt;0,+$E10/F10&gt;=100),"NM",+$E10/F10),"N/A")</f>
        <v>0.2359121281793361</v>
      </c>
      <c r="I10" s="229">
        <f t="shared" si="0"/>
        <v>6.8156201349247532</v>
      </c>
      <c r="J10" s="283">
        <v>51.25</v>
      </c>
      <c r="K10" s="283">
        <v>48.08</v>
      </c>
      <c r="L10" s="283">
        <v>47.27</v>
      </c>
      <c r="M10" s="283">
        <v>50.21</v>
      </c>
      <c r="N10" s="230">
        <f t="shared" ref="N10:P15" si="1">IFERROR($J10/K10-1,"N/A")</f>
        <v>6.5931780366056625E-2</v>
      </c>
      <c r="O10" s="230">
        <f t="shared" si="1"/>
        <v>8.4197165221070458E-2</v>
      </c>
      <c r="P10" s="230">
        <f t="shared" si="1"/>
        <v>2.0713005377414939E-2</v>
      </c>
    </row>
    <row r="11" spans="2:17" ht="31.75" x14ac:dyDescent="0.45">
      <c r="B11" s="116" t="s">
        <v>359</v>
      </c>
      <c r="C11" s="116" t="s">
        <v>358</v>
      </c>
      <c r="D11" s="117">
        <v>41704</v>
      </c>
      <c r="E11" s="463">
        <v>7662.55</v>
      </c>
      <c r="F11" s="463">
        <v>36139.1</v>
      </c>
      <c r="G11" s="463">
        <v>1611.3</v>
      </c>
      <c r="H11" s="229">
        <f t="shared" si="0"/>
        <v>0.21202935324897412</v>
      </c>
      <c r="I11" s="229">
        <f t="shared" si="0"/>
        <v>4.7555079749270774</v>
      </c>
      <c r="J11" s="284">
        <v>32.5</v>
      </c>
      <c r="K11" s="284">
        <v>39.479999999999997</v>
      </c>
      <c r="L11" s="284">
        <v>37.31</v>
      </c>
      <c r="M11" s="284">
        <v>30.28</v>
      </c>
      <c r="N11" s="230">
        <f t="shared" si="1"/>
        <v>-0.17679837892603845</v>
      </c>
      <c r="O11" s="230">
        <f t="shared" si="1"/>
        <v>-0.12891986062717775</v>
      </c>
      <c r="P11" s="230">
        <f t="shared" si="1"/>
        <v>7.3315719947159907E-2</v>
      </c>
    </row>
    <row r="12" spans="2:17" x14ac:dyDescent="0.45">
      <c r="B12" s="116" t="s">
        <v>362</v>
      </c>
      <c r="C12" s="116" t="s">
        <v>360</v>
      </c>
      <c r="D12" s="117">
        <v>41848</v>
      </c>
      <c r="E12" s="463">
        <v>9184.7800000000007</v>
      </c>
      <c r="F12" s="463">
        <v>10377.540000000001</v>
      </c>
      <c r="G12" s="463">
        <v>814.72</v>
      </c>
      <c r="H12" s="229">
        <f t="shared" si="0"/>
        <v>0.88506331943794003</v>
      </c>
      <c r="I12" s="229">
        <f t="shared" si="0"/>
        <v>11.273541830322074</v>
      </c>
      <c r="J12" s="284">
        <v>74.5</v>
      </c>
      <c r="K12" s="284">
        <v>60.66</v>
      </c>
      <c r="L12" s="284">
        <v>60.75</v>
      </c>
      <c r="M12" s="284">
        <v>66.84</v>
      </c>
      <c r="N12" s="230">
        <f t="shared" si="1"/>
        <v>0.22815694032311251</v>
      </c>
      <c r="O12" s="230">
        <f t="shared" si="1"/>
        <v>0.22633744855967075</v>
      </c>
      <c r="P12" s="230">
        <f t="shared" si="1"/>
        <v>0.1146020347097545</v>
      </c>
    </row>
    <row r="13" spans="2:17" x14ac:dyDescent="0.45">
      <c r="B13" s="116" t="s">
        <v>363</v>
      </c>
      <c r="C13" s="116" t="s">
        <v>356</v>
      </c>
      <c r="D13" s="117">
        <v>42902</v>
      </c>
      <c r="E13" s="463">
        <v>13732.75</v>
      </c>
      <c r="F13" s="463">
        <v>15856</v>
      </c>
      <c r="G13" s="463">
        <v>1333</v>
      </c>
      <c r="H13" s="229">
        <f t="shared" si="0"/>
        <v>0.86609170030272453</v>
      </c>
      <c r="I13" s="229">
        <f t="shared" si="0"/>
        <v>10.302138034508626</v>
      </c>
      <c r="J13" s="284">
        <v>42</v>
      </c>
      <c r="K13" s="284">
        <v>33.06</v>
      </c>
      <c r="L13" s="284">
        <v>35.729999999999997</v>
      </c>
      <c r="M13" s="284">
        <v>36.04</v>
      </c>
      <c r="N13" s="230">
        <f t="shared" si="1"/>
        <v>0.27041742286751358</v>
      </c>
      <c r="O13" s="230">
        <f t="shared" si="1"/>
        <v>0.17548278757346769</v>
      </c>
      <c r="P13" s="230">
        <f t="shared" si="1"/>
        <v>0.16537180910099902</v>
      </c>
    </row>
    <row r="14" spans="2:17" x14ac:dyDescent="0.45">
      <c r="B14" s="116" t="s">
        <v>364</v>
      </c>
      <c r="C14" s="116" t="s">
        <v>361</v>
      </c>
      <c r="D14" s="117">
        <v>42914</v>
      </c>
      <c r="E14" s="463">
        <v>6613.72</v>
      </c>
      <c r="F14" s="463">
        <v>18033</v>
      </c>
      <c r="G14" s="463">
        <v>1255</v>
      </c>
      <c r="H14" s="229">
        <f t="shared" si="0"/>
        <v>0.36675650196861309</v>
      </c>
      <c r="I14" s="229">
        <f t="shared" si="0"/>
        <v>5.2698964143426297</v>
      </c>
      <c r="J14" s="284">
        <v>10.25</v>
      </c>
      <c r="K14" s="284">
        <v>9.16</v>
      </c>
      <c r="L14" s="284">
        <v>8.66</v>
      </c>
      <c r="M14" s="284">
        <v>8.98</v>
      </c>
      <c r="N14" s="230">
        <f t="shared" si="1"/>
        <v>0.11899563318777284</v>
      </c>
      <c r="O14" s="230">
        <f t="shared" si="1"/>
        <v>0.18360277136258651</v>
      </c>
      <c r="P14" s="230">
        <f t="shared" si="1"/>
        <v>0.14142538975501107</v>
      </c>
    </row>
    <row r="15" spans="2:17" x14ac:dyDescent="0.45">
      <c r="B15" s="116" t="s">
        <v>366</v>
      </c>
      <c r="C15" s="116" t="s">
        <v>365</v>
      </c>
      <c r="D15" s="117">
        <v>43307</v>
      </c>
      <c r="E15" s="463">
        <v>2931.55</v>
      </c>
      <c r="F15" s="463">
        <v>15395</v>
      </c>
      <c r="G15" s="463">
        <v>426</v>
      </c>
      <c r="H15" s="229">
        <f t="shared" si="0"/>
        <v>0.19042221500487172</v>
      </c>
      <c r="I15" s="229">
        <f t="shared" si="0"/>
        <v>6.8815727699530518</v>
      </c>
      <c r="J15" s="284">
        <v>32.5</v>
      </c>
      <c r="K15" s="284">
        <v>19.45</v>
      </c>
      <c r="L15" s="284">
        <v>21.43</v>
      </c>
      <c r="M15" s="284">
        <v>21.28</v>
      </c>
      <c r="N15" s="230">
        <f t="shared" si="1"/>
        <v>0.67095115681233941</v>
      </c>
      <c r="O15" s="230">
        <f t="shared" si="1"/>
        <v>0.51656556229584694</v>
      </c>
      <c r="P15" s="230">
        <f t="shared" si="1"/>
        <v>0.52725563909774431</v>
      </c>
    </row>
    <row r="16" spans="2:17" x14ac:dyDescent="0.45">
      <c r="D16" s="118"/>
      <c r="E16" s="119"/>
      <c r="F16" s="119"/>
      <c r="G16" s="119"/>
      <c r="H16" s="120"/>
      <c r="I16" s="120"/>
      <c r="J16" s="120"/>
      <c r="K16" s="120"/>
      <c r="L16" s="120"/>
      <c r="M16" s="120"/>
      <c r="N16" s="120"/>
      <c r="O16" s="120"/>
      <c r="P16" s="120"/>
      <c r="Q16" s="25"/>
    </row>
    <row r="17" spans="2:17" x14ac:dyDescent="0.45">
      <c r="C17" s="122" t="s">
        <v>36</v>
      </c>
      <c r="D17" s="123"/>
      <c r="E17" s="464">
        <f>MAX(E10:E15)</f>
        <v>13732.75</v>
      </c>
      <c r="F17" s="464">
        <f t="shared" ref="F17:P17" si="2">MAX(F10:F15)</f>
        <v>36139.1</v>
      </c>
      <c r="G17" s="464">
        <f t="shared" si="2"/>
        <v>1611.3</v>
      </c>
      <c r="H17" s="124">
        <f t="shared" si="2"/>
        <v>0.88506331943794003</v>
      </c>
      <c r="I17" s="124">
        <f t="shared" si="2"/>
        <v>11.273541830322074</v>
      </c>
      <c r="J17" s="124"/>
      <c r="K17" s="124"/>
      <c r="L17" s="124"/>
      <c r="M17" s="124"/>
      <c r="N17" s="219">
        <f t="shared" si="2"/>
        <v>0.67095115681233941</v>
      </c>
      <c r="O17" s="219">
        <f t="shared" si="2"/>
        <v>0.51656556229584694</v>
      </c>
      <c r="P17" s="220">
        <f t="shared" si="2"/>
        <v>0.52725563909774431</v>
      </c>
      <c r="Q17" s="25"/>
    </row>
    <row r="18" spans="2:17" x14ac:dyDescent="0.45">
      <c r="C18" s="125" t="s">
        <v>37</v>
      </c>
      <c r="D18" s="126"/>
      <c r="E18" s="432">
        <f>QUARTILE(E10:E15,3)</f>
        <v>8804.2224999999999</v>
      </c>
      <c r="F18" s="432">
        <f t="shared" ref="F18:P18" si="3">QUARTILE(F10:F15,3)</f>
        <v>17488.75</v>
      </c>
      <c r="G18" s="432">
        <f t="shared" si="3"/>
        <v>1313.5</v>
      </c>
      <c r="H18" s="127">
        <f t="shared" si="3"/>
        <v>0.74125790071919662</v>
      </c>
      <c r="I18" s="127">
        <f t="shared" si="3"/>
        <v>9.4469967183697321</v>
      </c>
      <c r="J18" s="127"/>
      <c r="K18" s="127"/>
      <c r="L18" s="127"/>
      <c r="M18" s="127"/>
      <c r="N18" s="221">
        <f t="shared" si="3"/>
        <v>0.25985230223141331</v>
      </c>
      <c r="O18" s="221">
        <f t="shared" si="3"/>
        <v>0.21565377926039969</v>
      </c>
      <c r="P18" s="222">
        <f t="shared" si="3"/>
        <v>0.15938520426450203</v>
      </c>
      <c r="Q18" s="25"/>
    </row>
    <row r="19" spans="2:17" x14ac:dyDescent="0.45">
      <c r="B19" s="28"/>
      <c r="C19" s="128" t="s">
        <v>38</v>
      </c>
      <c r="D19" s="129"/>
      <c r="E19" s="434">
        <f>MEDIAN(E10:E15)</f>
        <v>7138.1350000000002</v>
      </c>
      <c r="F19" s="434">
        <f t="shared" ref="F19:P19" si="4">MEDIAN(F10:F15)</f>
        <v>15625.5</v>
      </c>
      <c r="G19" s="434">
        <f t="shared" si="4"/>
        <v>1034.8600000000001</v>
      </c>
      <c r="H19" s="130">
        <f t="shared" si="4"/>
        <v>0.30133431507397457</v>
      </c>
      <c r="I19" s="130">
        <f t="shared" si="4"/>
        <v>6.8485964524389029</v>
      </c>
      <c r="J19" s="130"/>
      <c r="K19" s="130"/>
      <c r="L19" s="130"/>
      <c r="M19" s="130"/>
      <c r="N19" s="223">
        <f t="shared" si="4"/>
        <v>0.17357628675544268</v>
      </c>
      <c r="O19" s="223">
        <f t="shared" si="4"/>
        <v>0.1795427794680271</v>
      </c>
      <c r="P19" s="224">
        <f t="shared" si="4"/>
        <v>0.12801371223238278</v>
      </c>
      <c r="Q19" s="25"/>
    </row>
    <row r="20" spans="2:17" x14ac:dyDescent="0.45">
      <c r="C20" s="125" t="s">
        <v>39</v>
      </c>
      <c r="D20" s="126"/>
      <c r="E20" s="432">
        <f>QUARTILE(E10:E15,1)</f>
        <v>3852.0925000000002</v>
      </c>
      <c r="F20" s="432">
        <f t="shared" ref="F20:P20" si="5">QUARTILE(F10:F15,1)</f>
        <v>12199.55</v>
      </c>
      <c r="G20" s="432">
        <f t="shared" si="5"/>
        <v>523.18000000000006</v>
      </c>
      <c r="H20" s="127">
        <f t="shared" si="5"/>
        <v>0.21800004698156461</v>
      </c>
      <c r="I20" s="127">
        <f t="shared" si="5"/>
        <v>5.6563273444881608</v>
      </c>
      <c r="J20" s="127"/>
      <c r="K20" s="127"/>
      <c r="L20" s="127"/>
      <c r="M20" s="127"/>
      <c r="N20" s="221">
        <f t="shared" si="5"/>
        <v>7.9197743571485679E-2</v>
      </c>
      <c r="O20" s="221">
        <f t="shared" si="5"/>
        <v>0.10701857080916977</v>
      </c>
      <c r="P20" s="222">
        <f t="shared" si="5"/>
        <v>8.3637298637808555E-2</v>
      </c>
      <c r="Q20" s="25"/>
    </row>
    <row r="21" spans="2:17" x14ac:dyDescent="0.45">
      <c r="C21" s="131" t="s">
        <v>40</v>
      </c>
      <c r="D21" s="132"/>
      <c r="E21" s="435">
        <f>MIN(E10:E15)</f>
        <v>2626.74</v>
      </c>
      <c r="F21" s="435">
        <f t="shared" ref="F21:P21" si="6">MIN(F10:F15)</f>
        <v>10377.540000000001</v>
      </c>
      <c r="G21" s="435">
        <f t="shared" si="6"/>
        <v>385.4</v>
      </c>
      <c r="H21" s="133">
        <f t="shared" si="6"/>
        <v>0.19042221500487172</v>
      </c>
      <c r="I21" s="133">
        <f t="shared" si="6"/>
        <v>4.7555079749270774</v>
      </c>
      <c r="J21" s="133"/>
      <c r="K21" s="133"/>
      <c r="L21" s="133"/>
      <c r="M21" s="133"/>
      <c r="N21" s="225">
        <f t="shared" si="6"/>
        <v>-0.17679837892603845</v>
      </c>
      <c r="O21" s="225">
        <f t="shared" si="6"/>
        <v>-0.12891986062717775</v>
      </c>
      <c r="P21" s="226">
        <f t="shared" si="6"/>
        <v>2.0713005377414939E-2</v>
      </c>
      <c r="Q21" s="25"/>
    </row>
    <row r="22" spans="2:17" x14ac:dyDescent="0.45">
      <c r="Q22" s="25"/>
    </row>
    <row r="23" spans="2:17" x14ac:dyDescent="0.45">
      <c r="H23" s="127"/>
      <c r="I23" s="127"/>
      <c r="J23" s="127"/>
      <c r="K23" s="127"/>
      <c r="L23" s="127"/>
      <c r="M23" s="127"/>
      <c r="N23" s="127"/>
      <c r="O23" s="127"/>
      <c r="P23" s="127"/>
      <c r="Q23" s="25"/>
    </row>
    <row r="24" spans="2:17" x14ac:dyDescent="0.45">
      <c r="Q24" s="25"/>
    </row>
    <row r="25" spans="2:17" x14ac:dyDescent="0.45">
      <c r="Q25" s="25"/>
    </row>
    <row r="26" spans="2:17" x14ac:dyDescent="0.45">
      <c r="Q26" s="25"/>
    </row>
    <row r="27" spans="2:17" x14ac:dyDescent="0.45">
      <c r="Q27" s="25"/>
    </row>
    <row r="28" spans="2:17" x14ac:dyDescent="0.45">
      <c r="Q28" s="25"/>
    </row>
    <row r="29" spans="2:17" x14ac:dyDescent="0.45">
      <c r="Q29" s="25"/>
    </row>
    <row r="30" spans="2:17" x14ac:dyDescent="0.45">
      <c r="Q30" s="25"/>
    </row>
    <row r="31" spans="2:17" x14ac:dyDescent="0.45">
      <c r="Q31" s="25"/>
    </row>
    <row r="32" spans="2:17" x14ac:dyDescent="0.45">
      <c r="Q32" s="25"/>
    </row>
    <row r="33" spans="17:31" x14ac:dyDescent="0.45">
      <c r="Q33" s="25"/>
    </row>
    <row r="34" spans="17:31" x14ac:dyDescent="0.45">
      <c r="Q34" s="25"/>
    </row>
    <row r="35" spans="17:31" x14ac:dyDescent="0.45">
      <c r="AE35" s="287"/>
    </row>
    <row r="36" spans="17:31" x14ac:dyDescent="0.45">
      <c r="AE36" s="287"/>
    </row>
    <row r="37" spans="17:31" x14ac:dyDescent="0.45">
      <c r="AE37" s="287"/>
    </row>
  </sheetData>
  <sortState xmlns:xlrd2="http://schemas.microsoft.com/office/spreadsheetml/2017/richdata2" ref="B10:AE15">
    <sortCondition ref="D10:D15"/>
  </sortState>
  <pageMargins left="0.75" right="0.75" top="1" bottom="1" header="0.5" footer="0.5"/>
  <pageSetup scale="45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E17C7-CC31-4606-BABC-B7FADD16BD58}">
  <sheetPr codeName="Sheet2">
    <tabColor rgb="FFB2B2B2"/>
    <pageSetUpPr autoPageBreaks="0" fitToPage="1"/>
  </sheetPr>
  <dimension ref="B2:O57"/>
  <sheetViews>
    <sheetView showGridLines="0" zoomScaleNormal="100" zoomScaleSheetLayoutView="55" workbookViewId="0">
      <selection activeCell="B2" sqref="B2"/>
    </sheetView>
  </sheetViews>
  <sheetFormatPr defaultColWidth="9.15234375" defaultRowHeight="15.9" outlineLevelRow="1" outlineLevelCol="1" x14ac:dyDescent="0.45"/>
  <cols>
    <col min="1" max="2" width="2.69140625" style="481" customWidth="1"/>
    <col min="3" max="3" width="47.69140625" style="481" customWidth="1"/>
    <col min="4" max="4" width="12.69140625" style="481" customWidth="1"/>
    <col min="5" max="8" width="14" style="481" customWidth="1" outlineLevel="1"/>
    <col min="9" max="13" width="14" style="481" customWidth="1"/>
    <col min="14" max="14" width="2.69140625" style="481" customWidth="1"/>
    <col min="15" max="15" width="12.69140625" style="481" customWidth="1"/>
    <col min="16" max="16" width="2.69140625" style="481" customWidth="1"/>
    <col min="17" max="16384" width="9.15234375" style="481"/>
  </cols>
  <sheetData>
    <row r="2" spans="2:15" ht="18.45" x14ac:dyDescent="0.5">
      <c r="B2" s="1" t="str">
        <f>Company_Name&amp;" - Summary of Operating Model and Valuation - "&amp;Scenario&amp;" Case"</f>
        <v>Walmart Inc. - Summary of Operating Model and Valuation - Base Case</v>
      </c>
    </row>
    <row r="3" spans="2:15" x14ac:dyDescent="0.45">
      <c r="B3" s="25" t="str">
        <f>+WMT_Model!$B$3</f>
        <v>($ in Millions Except Per Share and Per Unit Data)</v>
      </c>
    </row>
    <row r="5" spans="2:15" x14ac:dyDescent="0.45">
      <c r="B5" s="11"/>
      <c r="C5" s="11"/>
      <c r="D5" s="12"/>
      <c r="E5" s="13" t="str">
        <f>WMT_Model!$E$90</f>
        <v>Historical:</v>
      </c>
      <c r="F5" s="13"/>
      <c r="G5" s="13"/>
      <c r="H5" s="14"/>
      <c r="I5" s="13" t="str">
        <f>WMT_Model!$I$90</f>
        <v>Projected:</v>
      </c>
      <c r="J5" s="13"/>
      <c r="K5" s="13"/>
      <c r="L5" s="13"/>
      <c r="M5" s="13"/>
      <c r="N5" s="562"/>
      <c r="O5" s="13" t="s">
        <v>3</v>
      </c>
    </row>
    <row r="6" spans="2:15" x14ac:dyDescent="0.45">
      <c r="B6" s="233" t="s">
        <v>392</v>
      </c>
      <c r="C6" s="233"/>
      <c r="D6" s="234" t="str">
        <f>WMT_Model!$D$91</f>
        <v>Units:</v>
      </c>
      <c r="E6" s="16">
        <f>WMT_Model!$E$20</f>
        <v>42400</v>
      </c>
      <c r="F6" s="16">
        <f>WMT_Model!$F$20</f>
        <v>42766</v>
      </c>
      <c r="G6" s="16">
        <f>WMT_Model!$G$20</f>
        <v>43131</v>
      </c>
      <c r="H6" s="17">
        <f>WMT_Model!$H$20</f>
        <v>43496</v>
      </c>
      <c r="I6" s="16">
        <f>WMT_Model!$I$20</f>
        <v>43861</v>
      </c>
      <c r="J6" s="16">
        <f>WMT_Model!$J$20</f>
        <v>44227</v>
      </c>
      <c r="K6" s="16">
        <f>WMT_Model!$K$20</f>
        <v>44592</v>
      </c>
      <c r="L6" s="16">
        <f>WMT_Model!$L$20</f>
        <v>44957</v>
      </c>
      <c r="M6" s="16">
        <f>WMT_Model!$M$20</f>
        <v>45322</v>
      </c>
      <c r="N6" s="562"/>
      <c r="O6" s="16" t="s">
        <v>395</v>
      </c>
    </row>
    <row r="7" spans="2:15" outlineLevel="1" x14ac:dyDescent="0.45">
      <c r="B7" s="622" t="s">
        <v>405</v>
      </c>
      <c r="C7" s="622"/>
      <c r="D7" s="623"/>
      <c r="E7" s="623"/>
      <c r="F7" s="589"/>
      <c r="G7" s="589"/>
      <c r="H7" s="590"/>
      <c r="I7" s="589"/>
      <c r="J7" s="589"/>
      <c r="K7" s="589"/>
      <c r="L7" s="589"/>
      <c r="M7" s="589"/>
      <c r="N7" s="562"/>
      <c r="O7" s="589"/>
    </row>
    <row r="8" spans="2:15" outlineLevel="1" x14ac:dyDescent="0.45">
      <c r="C8" s="481" t="s">
        <v>402</v>
      </c>
      <c r="D8" s="235" t="s">
        <v>126</v>
      </c>
      <c r="E8" s="302">
        <f>+WMT_Model!E22+WMT_Model!E45+WMT_Model!E68</f>
        <v>478614</v>
      </c>
      <c r="F8" s="302">
        <f>+WMT_Model!F22+WMT_Model!F45+WMT_Model!F68</f>
        <v>481317</v>
      </c>
      <c r="G8" s="302">
        <f>+WMT_Model!G22+WMT_Model!G45+WMT_Model!G68</f>
        <v>495761</v>
      </c>
      <c r="H8" s="302">
        <f>+WMT_Model!H22+WMT_Model!H45+WMT_Model!H68</f>
        <v>510329</v>
      </c>
      <c r="I8" s="302">
        <f>+WMT_Model!I22+WMT_Model!I45+WMT_Model!I68</f>
        <v>522338.67038822378</v>
      </c>
      <c r="J8" s="302">
        <f>+WMT_Model!J22+WMT_Model!J45+WMT_Model!J68</f>
        <v>542402.68161168834</v>
      </c>
      <c r="K8" s="302">
        <f>+WMT_Model!K22+WMT_Model!K45+WMT_Model!K68</f>
        <v>560295.41874496604</v>
      </c>
      <c r="L8" s="302">
        <f>+WMT_Model!L22+WMT_Model!L45+WMT_Model!L68</f>
        <v>578519.2524488928</v>
      </c>
      <c r="M8" s="302">
        <f>+WMT_Model!M22+WMT_Model!M45+WMT_Model!M68</f>
        <v>595986.48585832457</v>
      </c>
      <c r="O8" s="301"/>
    </row>
    <row r="9" spans="2:15" outlineLevel="1" x14ac:dyDescent="0.45">
      <c r="C9" s="236" t="s">
        <v>196</v>
      </c>
      <c r="D9" s="235" t="s">
        <v>5</v>
      </c>
      <c r="E9" s="485" t="str">
        <f>IFERROR(+E8/D8-1,"N/A")</f>
        <v>N/A</v>
      </c>
      <c r="F9" s="485">
        <f t="shared" ref="F9:M9" si="0">IFERROR(+F8/E8-1,"N/A")</f>
        <v>5.6475573217666941E-3</v>
      </c>
      <c r="G9" s="485">
        <f t="shared" si="0"/>
        <v>3.000932857139893E-2</v>
      </c>
      <c r="H9" s="485">
        <f t="shared" si="0"/>
        <v>2.9385127107618425E-2</v>
      </c>
      <c r="I9" s="485">
        <f t="shared" si="0"/>
        <v>2.3533192094166377E-2</v>
      </c>
      <c r="J9" s="485">
        <f t="shared" si="0"/>
        <v>3.8411881717568708E-2</v>
      </c>
      <c r="K9" s="485">
        <f t="shared" si="0"/>
        <v>3.2987921593808256E-2</v>
      </c>
      <c r="L9" s="485">
        <f t="shared" si="0"/>
        <v>3.2525401947328447E-2</v>
      </c>
      <c r="M9" s="485">
        <f t="shared" si="0"/>
        <v>3.0193002800671387E-2</v>
      </c>
    </row>
    <row r="10" spans="2:15" outlineLevel="1" x14ac:dyDescent="0.45">
      <c r="C10" s="236"/>
      <c r="E10" s="235"/>
      <c r="F10" s="235"/>
      <c r="G10" s="235"/>
      <c r="H10" s="235"/>
      <c r="I10" s="235"/>
      <c r="J10" s="235"/>
      <c r="K10" s="235"/>
      <c r="L10" s="235"/>
      <c r="M10" s="235"/>
    </row>
    <row r="11" spans="2:15" outlineLevel="1" x14ac:dyDescent="0.45">
      <c r="C11" s="481" t="s">
        <v>403</v>
      </c>
      <c r="D11" s="236" t="s">
        <v>190</v>
      </c>
      <c r="E11" s="488">
        <f>+WMT_Model!E25+WMT_Model!E48+WMT_Model!E71</f>
        <v>1149.7499999999998</v>
      </c>
      <c r="F11" s="488">
        <f>+WMT_Model!F25+WMT_Model!F48+WMT_Model!F71</f>
        <v>1164.145</v>
      </c>
      <c r="G11" s="488">
        <f>+WMT_Model!G25+WMT_Model!G48+WMT_Model!G71</f>
        <v>1158.3489999999999</v>
      </c>
      <c r="H11" s="488">
        <f>+WMT_Model!H25+WMT_Model!H48+WMT_Model!H71</f>
        <v>1129.45</v>
      </c>
      <c r="I11" s="488">
        <f>+WMT_Model!I25+WMT_Model!I48+WMT_Model!I71</f>
        <v>1142.2925</v>
      </c>
      <c r="J11" s="488">
        <f>+WMT_Model!J25+WMT_Model!J48+WMT_Model!J71</f>
        <v>1155.4531399999998</v>
      </c>
      <c r="K11" s="488">
        <f>+WMT_Model!K25+WMT_Model!K48+WMT_Model!K71</f>
        <v>1167.0343363839997</v>
      </c>
      <c r="L11" s="488">
        <f>+WMT_Model!L25+WMT_Model!L48+WMT_Model!L71</f>
        <v>1178.7700767651015</v>
      </c>
      <c r="M11" s="488">
        <f>+WMT_Model!M25+WMT_Model!M48+WMT_Model!M71</f>
        <v>1188.82859409568</v>
      </c>
      <c r="O11" s="301"/>
    </row>
    <row r="12" spans="2:15" outlineLevel="1" x14ac:dyDescent="0.45">
      <c r="C12" s="481" t="s">
        <v>404</v>
      </c>
      <c r="D12" s="236" t="s">
        <v>192</v>
      </c>
      <c r="E12" s="489"/>
      <c r="F12" s="489">
        <f>IFERROR(+F8/AVERAGE(E11,F11),"N/A")</f>
        <v>416.0231989783461</v>
      </c>
      <c r="G12" s="489">
        <f>IFERROR(+G8/AVERAGE(F11,G11),"N/A")</f>
        <v>426.92123208929718</v>
      </c>
      <c r="H12" s="489">
        <f>IFERROR(+H8/AVERAGE(G11,H11),"N/A")</f>
        <v>446.13097566700571</v>
      </c>
      <c r="I12" s="489">
        <f t="shared" ref="I12:M12" si="1">IFERROR(+I8/AVERAGE(H11,I11),"N/A")</f>
        <v>459.85728610370558</v>
      </c>
      <c r="J12" s="489">
        <f t="shared" si="1"/>
        <v>472.1172545553722</v>
      </c>
      <c r="K12" s="489">
        <f t="shared" si="1"/>
        <v>482.49596559058205</v>
      </c>
      <c r="L12" s="489">
        <f t="shared" si="1"/>
        <v>493.23741502580384</v>
      </c>
      <c r="M12" s="489">
        <f t="shared" si="1"/>
        <v>503.45228960754849</v>
      </c>
      <c r="O12" s="301"/>
    </row>
    <row r="13" spans="2:15" outlineLevel="1" x14ac:dyDescent="0.45"/>
    <row r="14" spans="2:15" outlineLevel="1" x14ac:dyDescent="0.45">
      <c r="C14" s="481" t="s">
        <v>203</v>
      </c>
      <c r="D14" s="235" t="s">
        <v>126</v>
      </c>
      <c r="E14" s="325">
        <f>+WMT_Model!E39+WMT_Model!E61+WMT_Model!E84</f>
        <v>26253</v>
      </c>
      <c r="F14" s="325">
        <f>+WMT_Model!F39+WMT_Model!F61+WMT_Model!F84</f>
        <v>24377</v>
      </c>
      <c r="G14" s="325">
        <f>+WMT_Model!G39+WMT_Model!G61+WMT_Model!G84</f>
        <v>23139</v>
      </c>
      <c r="H14" s="325">
        <f>+WMT_Model!H39+WMT_Model!H61+WMT_Model!H84</f>
        <v>23789</v>
      </c>
      <c r="I14" s="325">
        <f>+WMT_Model!I39+WMT_Model!I61+WMT_Model!I84</f>
        <v>23683.358763151067</v>
      </c>
      <c r="J14" s="325">
        <f>+WMT_Model!J39+WMT_Model!J61+WMT_Model!J84</f>
        <v>24076.144855135757</v>
      </c>
      <c r="K14" s="325">
        <f>+WMT_Model!K39+WMT_Model!K61+WMT_Model!K84</f>
        <v>24413.94966296956</v>
      </c>
      <c r="L14" s="325">
        <f>+WMT_Model!L39+WMT_Model!L61+WMT_Model!L84</f>
        <v>24811.694290624564</v>
      </c>
      <c r="M14" s="325">
        <f>+WMT_Model!M39+WMT_Model!M61+WMT_Model!M84</f>
        <v>25544.852478101333</v>
      </c>
      <c r="O14" s="301"/>
    </row>
    <row r="15" spans="2:15" outlineLevel="1" x14ac:dyDescent="0.45">
      <c r="C15" s="483" t="s">
        <v>381</v>
      </c>
      <c r="D15" s="235" t="s">
        <v>5</v>
      </c>
      <c r="E15" s="485">
        <f>IFERROR(+E14/E$8,"N/A")</f>
        <v>5.4852135541375725E-2</v>
      </c>
      <c r="F15" s="485">
        <f t="shared" ref="F15:M15" si="2">IFERROR(+F14/F$8,"N/A")</f>
        <v>5.0646455454513344E-2</v>
      </c>
      <c r="G15" s="485">
        <f t="shared" si="2"/>
        <v>4.667369962542435E-2</v>
      </c>
      <c r="H15" s="485">
        <f t="shared" si="2"/>
        <v>4.6615026776843954E-2</v>
      </c>
      <c r="I15" s="485">
        <f t="shared" si="2"/>
        <v>4.5341002123294095E-2</v>
      </c>
      <c r="J15" s="485">
        <f t="shared" si="2"/>
        <v>4.4387953215120936E-2</v>
      </c>
      <c r="K15" s="485">
        <f t="shared" si="2"/>
        <v>4.3573352282007941E-2</v>
      </c>
      <c r="L15" s="485">
        <f t="shared" si="2"/>
        <v>4.2888277590755655E-2</v>
      </c>
      <c r="M15" s="485">
        <f t="shared" si="2"/>
        <v>4.2861462607348029E-2</v>
      </c>
    </row>
    <row r="16" spans="2:15" outlineLevel="1" x14ac:dyDescent="0.45"/>
    <row r="17" spans="2:15" outlineLevel="1" x14ac:dyDescent="0.45">
      <c r="C17" s="481" t="s">
        <v>199</v>
      </c>
      <c r="D17" s="235" t="s">
        <v>126</v>
      </c>
      <c r="E17" s="325">
        <f>+WMT_Model!E41+WMT_Model!E64+WMT_Model!E87</f>
        <v>10353</v>
      </c>
      <c r="F17" s="325">
        <f>+WMT_Model!F41+WMT_Model!F64+WMT_Model!F87</f>
        <v>9426</v>
      </c>
      <c r="G17" s="325">
        <f>+WMT_Model!G41+WMT_Model!G64+WMT_Model!G87</f>
        <v>8913</v>
      </c>
      <c r="H17" s="325">
        <f>+WMT_Model!H41+WMT_Model!H64+WMT_Model!H87</f>
        <v>9145</v>
      </c>
      <c r="I17" s="325">
        <f>+WMT_Model!I41+WMT_Model!I64+WMT_Model!I87</f>
        <v>9338.3883299999979</v>
      </c>
      <c r="J17" s="325">
        <f>+WMT_Model!J41+WMT_Model!J64+WMT_Model!J87</f>
        <v>9729.2941420499974</v>
      </c>
      <c r="K17" s="325">
        <f>+WMT_Model!K41+WMT_Model!K64+WMT_Model!K87</f>
        <v>10143.562171510574</v>
      </c>
      <c r="L17" s="325">
        <f>+WMT_Model!L41+WMT_Model!L64+WMT_Model!L87</f>
        <v>10562.152114079485</v>
      </c>
      <c r="M17" s="325">
        <f>+WMT_Model!M41+WMT_Model!M64+WMT_Model!M87</f>
        <v>10984.273280107111</v>
      </c>
    </row>
    <row r="18" spans="2:15" outlineLevel="1" x14ac:dyDescent="0.45">
      <c r="C18" s="483" t="s">
        <v>262</v>
      </c>
      <c r="D18" s="235" t="s">
        <v>5</v>
      </c>
      <c r="E18" s="485">
        <f>IFERROR(+E17/E$8,"N/A")</f>
        <v>2.1631210119219247E-2</v>
      </c>
      <c r="F18" s="485">
        <f t="shared" ref="F18" si="3">IFERROR(+F17/F$8,"N/A")</f>
        <v>1.9583767039186233E-2</v>
      </c>
      <c r="G18" s="485">
        <f t="shared" ref="G18" si="4">IFERROR(+G17/G$8,"N/A")</f>
        <v>1.7978421053693211E-2</v>
      </c>
      <c r="H18" s="485">
        <f t="shared" ref="H18" si="5">IFERROR(+H17/H$8,"N/A")</f>
        <v>1.7919812513104292E-2</v>
      </c>
      <c r="I18" s="485">
        <f t="shared" ref="I18" si="6">IFERROR(+I17/I$8,"N/A")</f>
        <v>1.7878033657855199E-2</v>
      </c>
      <c r="J18" s="485">
        <f t="shared" ref="J18" si="7">IFERROR(+J17/J$8,"N/A")</f>
        <v>1.7937400517896589E-2</v>
      </c>
      <c r="K18" s="485">
        <f t="shared" ref="K18" si="8">IFERROR(+K17/K$8,"N/A")</f>
        <v>1.810395343626341E-2</v>
      </c>
      <c r="L18" s="485">
        <f t="shared" ref="L18" si="9">IFERROR(+L17/L$8,"N/A")</f>
        <v>1.8257218008509681E-2</v>
      </c>
      <c r="M18" s="485">
        <f t="shared" ref="M18" si="10">IFERROR(+M17/M$8,"N/A")</f>
        <v>1.8430406629586307E-2</v>
      </c>
    </row>
    <row r="19" spans="2:15" outlineLevel="1" x14ac:dyDescent="0.45"/>
    <row r="20" spans="2:15" outlineLevel="1" x14ac:dyDescent="0.45">
      <c r="B20" s="622" t="s">
        <v>393</v>
      </c>
      <c r="C20" s="622"/>
      <c r="D20" s="623"/>
      <c r="E20" s="623"/>
      <c r="F20" s="589"/>
      <c r="G20" s="589"/>
      <c r="H20" s="589"/>
      <c r="I20" s="589"/>
      <c r="J20" s="589"/>
      <c r="K20" s="589"/>
      <c r="L20" s="589"/>
      <c r="M20" s="589"/>
      <c r="O20" s="589"/>
    </row>
    <row r="21" spans="2:15" outlineLevel="1" x14ac:dyDescent="0.45">
      <c r="C21" s="482" t="str">
        <f>WMT_Model!C150</f>
        <v>Total Revenue:</v>
      </c>
      <c r="D21" s="235" t="s">
        <v>126</v>
      </c>
      <c r="E21" s="354">
        <f>WMT_Model!E150</f>
        <v>482130</v>
      </c>
      <c r="F21" s="354">
        <f>WMT_Model!F150</f>
        <v>485873</v>
      </c>
      <c r="G21" s="354">
        <f>WMT_Model!G150</f>
        <v>500343</v>
      </c>
      <c r="H21" s="354">
        <f>WMT_Model!H150</f>
        <v>514405</v>
      </c>
      <c r="I21" s="354">
        <f>WMT_Model!I150</f>
        <v>526618.47038822377</v>
      </c>
      <c r="J21" s="354">
        <f>WMT_Model!J150</f>
        <v>546853.67361168831</v>
      </c>
      <c r="K21" s="354">
        <f>WMT_Model!K150</f>
        <v>564924.45042496605</v>
      </c>
      <c r="L21" s="354">
        <f>WMT_Model!L150</f>
        <v>583287.15507929283</v>
      </c>
      <c r="M21" s="354">
        <f>WMT_Model!M150</f>
        <v>600897.42556763662</v>
      </c>
      <c r="O21" s="301"/>
    </row>
    <row r="22" spans="2:15" outlineLevel="1" x14ac:dyDescent="0.45">
      <c r="C22" s="483" t="str">
        <f>WMT_Model!C151</f>
        <v>Revenue Growth:</v>
      </c>
      <c r="D22" s="235" t="s">
        <v>5</v>
      </c>
      <c r="E22" s="624" t="str">
        <f>WMT_Model!E151</f>
        <v>N/A</v>
      </c>
      <c r="F22" s="624">
        <f>WMT_Model!F151</f>
        <v>7.7634662850267766E-3</v>
      </c>
      <c r="G22" s="624">
        <f>WMT_Model!G151</f>
        <v>2.9781444945489843E-2</v>
      </c>
      <c r="H22" s="624">
        <f>WMT_Model!H151</f>
        <v>2.8104720161968855E-2</v>
      </c>
      <c r="I22" s="624">
        <f>WMT_Model!I151</f>
        <v>2.3742907608253816E-2</v>
      </c>
      <c r="J22" s="624">
        <f>WMT_Model!J151</f>
        <v>3.842478826947926E-2</v>
      </c>
      <c r="K22" s="624">
        <f>WMT_Model!K151</f>
        <v>3.3044994822709173E-2</v>
      </c>
      <c r="L22" s="624">
        <f>WMT_Model!L151</f>
        <v>3.2504708621680978E-2</v>
      </c>
      <c r="M22" s="624">
        <f>WMT_Model!M151</f>
        <v>3.0191425158247798E-2</v>
      </c>
    </row>
    <row r="23" spans="2:15" outlineLevel="1" x14ac:dyDescent="0.45">
      <c r="E23" s="493"/>
      <c r="F23" s="493"/>
      <c r="G23" s="566"/>
      <c r="H23" s="493"/>
      <c r="I23" s="493"/>
      <c r="J23" s="493"/>
      <c r="K23" s="493"/>
      <c r="L23" s="493"/>
      <c r="M23" s="493"/>
    </row>
    <row r="24" spans="2:15" outlineLevel="1" x14ac:dyDescent="0.45">
      <c r="C24" s="482" t="str">
        <f>WMT_Model!C153</f>
        <v>Operating Income:</v>
      </c>
      <c r="D24" s="235" t="s">
        <v>126</v>
      </c>
      <c r="E24" s="625">
        <f>WMT_Model!E153</f>
        <v>24105</v>
      </c>
      <c r="F24" s="625">
        <f>WMT_Model!F153</f>
        <v>22764</v>
      </c>
      <c r="G24" s="625">
        <f>WMT_Model!G153</f>
        <v>20437</v>
      </c>
      <c r="H24" s="625">
        <f>WMT_Model!H153</f>
        <v>21957</v>
      </c>
      <c r="I24" s="625">
        <f>WMT_Model!I153</f>
        <v>21479.892416658069</v>
      </c>
      <c r="J24" s="625">
        <f>WMT_Model!J153</f>
        <v>21788.010780819841</v>
      </c>
      <c r="K24" s="625">
        <f>WMT_Model!K153</f>
        <v>22050.20421001421</v>
      </c>
      <c r="L24" s="625">
        <f>WMT_Model!L153</f>
        <v>22371.115980465078</v>
      </c>
      <c r="M24" s="625">
        <f>WMT_Model!M153</f>
        <v>23030.589630547824</v>
      </c>
      <c r="O24" s="301"/>
    </row>
    <row r="25" spans="2:15" outlineLevel="1" x14ac:dyDescent="0.45">
      <c r="C25" s="483" t="str">
        <f>WMT_Model!C154</f>
        <v>Operating Margin:</v>
      </c>
      <c r="D25" s="235" t="s">
        <v>5</v>
      </c>
      <c r="E25" s="624">
        <f>WMT_Model!E154</f>
        <v>4.9996888805923713E-2</v>
      </c>
      <c r="F25" s="624">
        <f>WMT_Model!F154</f>
        <v>4.6851749325441013E-2</v>
      </c>
      <c r="G25" s="624">
        <f>WMT_Model!G154</f>
        <v>4.084597965795464E-2</v>
      </c>
      <c r="H25" s="624">
        <f>WMT_Model!H154</f>
        <v>4.268426628823592E-2</v>
      </c>
      <c r="I25" s="624">
        <f>WMT_Model!I154</f>
        <v>4.0788338473626014E-2</v>
      </c>
      <c r="J25" s="624">
        <f>WMT_Model!J154</f>
        <v>3.9842487729708741E-2</v>
      </c>
      <c r="K25" s="624">
        <f>WMT_Model!K154</f>
        <v>3.9032129328845443E-2</v>
      </c>
      <c r="L25" s="624">
        <f>WMT_Model!L154</f>
        <v>3.8353520707007371E-2</v>
      </c>
      <c r="M25" s="624">
        <f>WMT_Model!M154</f>
        <v>3.8326990016294415E-2</v>
      </c>
    </row>
    <row r="26" spans="2:15" outlineLevel="1" x14ac:dyDescent="0.45">
      <c r="E26" s="562"/>
      <c r="F26" s="493"/>
      <c r="G26" s="566"/>
      <c r="H26" s="566"/>
      <c r="I26" s="493"/>
      <c r="J26" s="493"/>
      <c r="K26" s="493"/>
      <c r="L26" s="493"/>
      <c r="M26" s="562"/>
    </row>
    <row r="27" spans="2:15" outlineLevel="1" x14ac:dyDescent="0.45">
      <c r="C27" s="482" t="str">
        <f>WMT_Model!C168</f>
        <v>Net Income to Parent:</v>
      </c>
      <c r="D27" s="235" t="s">
        <v>126</v>
      </c>
      <c r="E27" s="625">
        <f>WMT_Model!E168</f>
        <v>14694</v>
      </c>
      <c r="F27" s="625">
        <f>WMT_Model!F168</f>
        <v>13643</v>
      </c>
      <c r="G27" s="625">
        <f>WMT_Model!G168</f>
        <v>9862</v>
      </c>
      <c r="H27" s="625">
        <f>WMT_Model!H168</f>
        <v>6670</v>
      </c>
      <c r="I27" s="625">
        <f>WMT_Model!I168</f>
        <v>13249.83582473967</v>
      </c>
      <c r="J27" s="625">
        <f>WMT_Model!J168</f>
        <v>13503.543786589087</v>
      </c>
      <c r="K27" s="625">
        <f>WMT_Model!K168</f>
        <v>13674.474283891414</v>
      </c>
      <c r="L27" s="625">
        <f>WMT_Model!L168</f>
        <v>13857.531095169201</v>
      </c>
      <c r="M27" s="625">
        <f>WMT_Model!M168</f>
        <v>14248.397542193681</v>
      </c>
      <c r="O27" s="301"/>
    </row>
    <row r="28" spans="2:15" outlineLevel="1" x14ac:dyDescent="0.45">
      <c r="C28" s="481" t="str">
        <f>WMT_Model!C171</f>
        <v>Basic Earnings per Share (EPS):</v>
      </c>
      <c r="D28" s="235" t="s">
        <v>217</v>
      </c>
      <c r="E28" s="626">
        <f>WMT_Model!E171</f>
        <v>4.5818521983161835</v>
      </c>
      <c r="F28" s="626">
        <f>WMT_Model!F171</f>
        <v>4.3995485327313766</v>
      </c>
      <c r="G28" s="626">
        <f>WMT_Model!G171</f>
        <v>3.2928213689482471</v>
      </c>
      <c r="H28" s="626">
        <f>WMT_Model!H171</f>
        <v>2.277227722772277</v>
      </c>
      <c r="I28" s="626">
        <f>WMT_Model!I171</f>
        <v>4.5983529722042418</v>
      </c>
      <c r="J28" s="626">
        <f>WMT_Model!J171</f>
        <v>4.769070922762606</v>
      </c>
      <c r="K28" s="626">
        <f>WMT_Model!K171</f>
        <v>4.9203677169513496</v>
      </c>
      <c r="L28" s="626">
        <f>WMT_Model!L171</f>
        <v>5.0863546636499555</v>
      </c>
      <c r="M28" s="626">
        <f>WMT_Model!M171</f>
        <v>5.3417415363845331</v>
      </c>
    </row>
    <row r="29" spans="2:15" outlineLevel="1" x14ac:dyDescent="0.45">
      <c r="E29" s="562"/>
      <c r="F29" s="567"/>
      <c r="G29" s="568"/>
      <c r="H29" s="568"/>
      <c r="I29" s="567"/>
      <c r="J29" s="567"/>
      <c r="K29" s="567"/>
      <c r="L29" s="567"/>
      <c r="M29" s="562"/>
    </row>
    <row r="30" spans="2:15" outlineLevel="1" x14ac:dyDescent="0.45">
      <c r="C30" s="481" t="str">
        <f>WMT_Model!C233</f>
        <v>Cash Flow from Operations:</v>
      </c>
      <c r="D30" s="235" t="s">
        <v>126</v>
      </c>
      <c r="E30" s="350">
        <f>WMT_Model!E233</f>
        <v>27552</v>
      </c>
      <c r="F30" s="350">
        <f>WMT_Model!F233</f>
        <v>31673</v>
      </c>
      <c r="G30" s="350">
        <f>WMT_Model!G233</f>
        <v>28337</v>
      </c>
      <c r="H30" s="350">
        <f>WMT_Model!H233</f>
        <v>27755</v>
      </c>
      <c r="I30" s="350">
        <f>WMT_Model!I233</f>
        <v>28499.59403601729</v>
      </c>
      <c r="J30" s="350">
        <f>WMT_Model!J233</f>
        <v>28454.488235399927</v>
      </c>
      <c r="K30" s="350">
        <f>WMT_Model!K233</f>
        <v>29082.061810988911</v>
      </c>
      <c r="L30" s="350">
        <f>WMT_Model!L233</f>
        <v>29864.799861709689</v>
      </c>
      <c r="M30" s="350">
        <f>WMT_Model!M233</f>
        <v>30787.281833879741</v>
      </c>
      <c r="O30" s="301"/>
    </row>
    <row r="31" spans="2:15" outlineLevel="1" x14ac:dyDescent="0.45">
      <c r="C31" s="481" t="str">
        <f>WMT_Model!C239</f>
        <v>Cash Flow from Investing:</v>
      </c>
      <c r="D31" s="235" t="s">
        <v>126</v>
      </c>
      <c r="E31" s="350">
        <f>WMT_Model!E239</f>
        <v>-10675</v>
      </c>
      <c r="F31" s="350">
        <f>WMT_Model!F239</f>
        <v>-13896</v>
      </c>
      <c r="G31" s="350">
        <f>WMT_Model!G239</f>
        <v>-9079</v>
      </c>
      <c r="H31" s="350">
        <f>WMT_Model!H239</f>
        <v>-24036</v>
      </c>
      <c r="I31" s="350">
        <f>WMT_Model!I239</f>
        <v>-12000.136334693138</v>
      </c>
      <c r="J31" s="350">
        <f>WMT_Model!J239</f>
        <v>-12938.554320769104</v>
      </c>
      <c r="K31" s="350">
        <f>WMT_Model!K239</f>
        <v>-13895.252459937761</v>
      </c>
      <c r="L31" s="350">
        <f>WMT_Model!L239</f>
        <v>-14856.957957586055</v>
      </c>
      <c r="M31" s="350">
        <f>WMT_Model!M239</f>
        <v>-15820.42796636295</v>
      </c>
      <c r="O31" s="301"/>
    </row>
    <row r="32" spans="2:15" outlineLevel="1" x14ac:dyDescent="0.45">
      <c r="C32" s="481" t="str">
        <f>WMT_Model!C250</f>
        <v>Cash Flow from Financing:</v>
      </c>
      <c r="D32" s="235" t="s">
        <v>126</v>
      </c>
      <c r="E32" s="350">
        <f>WMT_Model!E250</f>
        <v>-16285</v>
      </c>
      <c r="F32" s="350">
        <f>WMT_Model!F250</f>
        <v>-19072</v>
      </c>
      <c r="G32" s="350">
        <f>WMT_Model!G250</f>
        <v>-19875</v>
      </c>
      <c r="H32" s="350">
        <f>WMT_Model!H250</f>
        <v>-2537</v>
      </c>
      <c r="I32" s="350">
        <f>WMT_Model!I250</f>
        <v>-15649.941617339377</v>
      </c>
      <c r="J32" s="350">
        <f>WMT_Model!J250</f>
        <v>-14798.601790570683</v>
      </c>
      <c r="K32" s="350">
        <f>WMT_Model!K250</f>
        <v>-14489.95082344511</v>
      </c>
      <c r="L32" s="350">
        <f>WMT_Model!L250</f>
        <v>-14293.831026003596</v>
      </c>
      <c r="M32" s="350">
        <f>WMT_Model!M250</f>
        <v>-14257.307606039985</v>
      </c>
      <c r="O32" s="301"/>
    </row>
    <row r="33" spans="2:15" outlineLevel="1" x14ac:dyDescent="0.45">
      <c r="E33" s="562"/>
      <c r="F33" s="562"/>
      <c r="G33" s="565"/>
      <c r="H33" s="562"/>
      <c r="I33" s="562"/>
      <c r="J33" s="562"/>
      <c r="K33" s="562"/>
      <c r="L33" s="562"/>
      <c r="M33" s="562"/>
    </row>
    <row r="34" spans="2:15" outlineLevel="1" x14ac:dyDescent="0.45">
      <c r="C34" s="481" t="s">
        <v>394</v>
      </c>
      <c r="D34" s="235" t="s">
        <v>126</v>
      </c>
      <c r="E34" s="350">
        <f>-WMT_Model!E236</f>
        <v>11477</v>
      </c>
      <c r="F34" s="350">
        <f>-WMT_Model!F236</f>
        <v>10619</v>
      </c>
      <c r="G34" s="350">
        <f>-WMT_Model!G236</f>
        <v>10051</v>
      </c>
      <c r="H34" s="350">
        <f>-WMT_Model!H236</f>
        <v>10344</v>
      </c>
      <c r="I34" s="350">
        <f>-WMT_Model!I236</f>
        <v>10574.886334693138</v>
      </c>
      <c r="J34" s="350">
        <f>-WMT_Model!J236</f>
        <v>11013.304320769104</v>
      </c>
      <c r="K34" s="350">
        <f>-WMT_Model!K236</f>
        <v>11470.002459937761</v>
      </c>
      <c r="L34" s="350">
        <f>-WMT_Model!L236</f>
        <v>11931.707957586055</v>
      </c>
      <c r="M34" s="350">
        <f>-WMT_Model!M236</f>
        <v>12395.177966362951</v>
      </c>
      <c r="O34" s="301"/>
    </row>
    <row r="35" spans="2:15" outlineLevel="1" x14ac:dyDescent="0.45">
      <c r="C35" s="483" t="s">
        <v>262</v>
      </c>
      <c r="D35" s="235" t="s">
        <v>5</v>
      </c>
      <c r="E35" s="485">
        <f>IFERROR(+E34/E21,"N/A")</f>
        <v>2.3804782942359944E-2</v>
      </c>
      <c r="F35" s="485">
        <f t="shared" ref="F35:M35" si="11">IFERROR(+F34/F21,"N/A")</f>
        <v>2.1855505451012919E-2</v>
      </c>
      <c r="G35" s="485">
        <f t="shared" si="11"/>
        <v>2.0088219481435736E-2</v>
      </c>
      <c r="H35" s="485">
        <f t="shared" si="11"/>
        <v>2.0108669239218127E-2</v>
      </c>
      <c r="I35" s="485">
        <f t="shared" si="11"/>
        <v>2.0080735730551417E-2</v>
      </c>
      <c r="J35" s="485">
        <f t="shared" si="11"/>
        <v>2.0139398987725314E-2</v>
      </c>
      <c r="K35" s="485">
        <f t="shared" si="11"/>
        <v>2.0303604227626223E-2</v>
      </c>
      <c r="L35" s="485">
        <f t="shared" si="11"/>
        <v>2.0455975849432245E-2</v>
      </c>
      <c r="M35" s="485">
        <f t="shared" si="11"/>
        <v>2.0627776786784981E-2</v>
      </c>
    </row>
    <row r="36" spans="2:15" outlineLevel="1" x14ac:dyDescent="0.45">
      <c r="E36" s="562"/>
      <c r="F36" s="562"/>
      <c r="G36" s="565"/>
      <c r="H36" s="562"/>
      <c r="I36" s="562"/>
      <c r="J36" s="562"/>
      <c r="K36" s="562"/>
      <c r="L36" s="562"/>
      <c r="M36" s="562"/>
    </row>
    <row r="37" spans="2:15" outlineLevel="1" x14ac:dyDescent="0.45">
      <c r="C37" s="481" t="str">
        <f>WMT_Model!C192</f>
        <v>Total Assets:</v>
      </c>
      <c r="D37" s="235" t="s">
        <v>126</v>
      </c>
      <c r="E37" s="350">
        <f>WMT_Model!E192</f>
        <v>199581</v>
      </c>
      <c r="F37" s="350">
        <f>WMT_Model!F192</f>
        <v>198825</v>
      </c>
      <c r="G37" s="350">
        <f>WMT_Model!G192</f>
        <v>204522</v>
      </c>
      <c r="H37" s="350">
        <f>WMT_Model!H192</f>
        <v>219295</v>
      </c>
      <c r="I37" s="350">
        <f>WMT_Model!I192</f>
        <v>221673.12277863032</v>
      </c>
      <c r="J37" s="350">
        <f>WMT_Model!J192</f>
        <v>226129.12370454759</v>
      </c>
      <c r="K37" s="350">
        <f>WMT_Model!K192</f>
        <v>230951.62577726634</v>
      </c>
      <c r="L37" s="350">
        <f>WMT_Model!L192</f>
        <v>236384.55082703754</v>
      </c>
      <c r="M37" s="350">
        <f>WMT_Model!M192</f>
        <v>242297.03387767432</v>
      </c>
    </row>
    <row r="38" spans="2:15" outlineLevel="1" x14ac:dyDescent="0.45">
      <c r="C38" s="481" t="s">
        <v>386</v>
      </c>
      <c r="D38" s="235" t="s">
        <v>126</v>
      </c>
      <c r="E38" s="325">
        <f>+WMT_Model!E201+WMT_Model!E202</f>
        <v>50034</v>
      </c>
      <c r="F38" s="325">
        <f>+WMT_Model!F201+WMT_Model!F202</f>
        <v>45938</v>
      </c>
      <c r="G38" s="325">
        <f>+WMT_Model!G201+WMT_Model!G202</f>
        <v>46487</v>
      </c>
      <c r="H38" s="325">
        <f>+WMT_Model!H201+WMT_Model!H202</f>
        <v>58033</v>
      </c>
      <c r="I38" s="325">
        <f>+WMT_Model!I201+WMT_Model!I202</f>
        <v>54995.698027289945</v>
      </c>
      <c r="J38" s="325">
        <f>+WMT_Model!J201+WMT_Model!J202</f>
        <v>53297.931822221093</v>
      </c>
      <c r="K38" s="325">
        <f>+WMT_Model!K201+WMT_Model!K202</f>
        <v>52356.757916699993</v>
      </c>
      <c r="L38" s="325">
        <f>+WMT_Model!L201+WMT_Model!L202</f>
        <v>52070.194423701665</v>
      </c>
      <c r="M38" s="325">
        <f>+WMT_Model!M201+WMT_Model!M202</f>
        <v>52399.677435976264</v>
      </c>
    </row>
    <row r="39" spans="2:15" outlineLevel="1" x14ac:dyDescent="0.45">
      <c r="C39" s="481" t="str">
        <f>WMT_Model!C180</f>
        <v>Cash &amp; Cash-Equivalents:</v>
      </c>
      <c r="D39" s="235" t="s">
        <v>126</v>
      </c>
      <c r="E39" s="350">
        <f>WMT_Model!E180</f>
        <v>8705</v>
      </c>
      <c r="F39" s="350">
        <f>WMT_Model!F180</f>
        <v>6958</v>
      </c>
      <c r="G39" s="350">
        <f>WMT_Model!G180</f>
        <v>6828</v>
      </c>
      <c r="H39" s="350">
        <f>WMT_Model!H180</f>
        <v>7572</v>
      </c>
      <c r="I39" s="350">
        <f>WMT_Model!I180</f>
        <v>8036.0074866535979</v>
      </c>
      <c r="J39" s="350">
        <f>WMT_Model!J180</f>
        <v>8353.0179271540474</v>
      </c>
      <c r="K39" s="350">
        <f>WMT_Model!K180</f>
        <v>8636.3261432397485</v>
      </c>
      <c r="L39" s="350">
        <f>WMT_Model!L180</f>
        <v>8923.3443774630741</v>
      </c>
      <c r="M39" s="350">
        <f>WMT_Model!M180</f>
        <v>9193.0064785918366</v>
      </c>
    </row>
    <row r="40" spans="2:15" outlineLevel="1" x14ac:dyDescent="0.45">
      <c r="E40" s="562"/>
      <c r="F40" s="562"/>
      <c r="G40" s="565"/>
      <c r="H40" s="562"/>
      <c r="I40" s="562"/>
      <c r="J40" s="562"/>
      <c r="K40" s="562"/>
      <c r="L40" s="562"/>
      <c r="M40" s="562"/>
    </row>
    <row r="41" spans="2:15" outlineLevel="1" x14ac:dyDescent="0.45">
      <c r="C41" s="482" t="s">
        <v>14</v>
      </c>
      <c r="D41" s="235" t="s">
        <v>126</v>
      </c>
      <c r="E41" s="625">
        <f>WMT_Model!E173</f>
        <v>33559</v>
      </c>
      <c r="F41" s="625">
        <f>WMT_Model!F173</f>
        <v>32844</v>
      </c>
      <c r="G41" s="625">
        <f>WMT_Model!G173</f>
        <v>30966</v>
      </c>
      <c r="H41" s="625">
        <f>WMT_Model!H173</f>
        <v>32635</v>
      </c>
      <c r="I41" s="625">
        <f>WMT_Model!I173</f>
        <v>32012.261824422545</v>
      </c>
      <c r="J41" s="625">
        <f>WMT_Model!J173</f>
        <v>32725.084253053607</v>
      </c>
      <c r="K41" s="625">
        <f>WMT_Model!K173</f>
        <v>33348.69321851353</v>
      </c>
      <c r="L41" s="625">
        <f>WMT_Model!L173</f>
        <v>34036.859082050934</v>
      </c>
      <c r="M41" s="625">
        <f>WMT_Model!M173</f>
        <v>35048.538141900557</v>
      </c>
      <c r="O41" s="301"/>
    </row>
    <row r="42" spans="2:15" outlineLevel="1" x14ac:dyDescent="0.45">
      <c r="C42" s="483" t="s">
        <v>382</v>
      </c>
      <c r="D42" s="235" t="s">
        <v>5</v>
      </c>
      <c r="E42" s="624">
        <f>WMT_Model!E174</f>
        <v>6.9605708004065292E-2</v>
      </c>
      <c r="F42" s="624">
        <f>WMT_Model!F174</f>
        <v>6.7597911388366919E-2</v>
      </c>
      <c r="G42" s="624">
        <f>WMT_Model!G174</f>
        <v>6.188954377297174E-2</v>
      </c>
      <c r="H42" s="624">
        <f>WMT_Model!H174</f>
        <v>6.3442229371798484E-2</v>
      </c>
      <c r="I42" s="624">
        <f>WMT_Model!I174</f>
        <v>6.0788338473626018E-2</v>
      </c>
      <c r="J42" s="624">
        <f>WMT_Model!J174</f>
        <v>5.9842487729708738E-2</v>
      </c>
      <c r="K42" s="624">
        <f>WMT_Model!K174</f>
        <v>5.903212932884544E-2</v>
      </c>
      <c r="L42" s="624">
        <f>WMT_Model!L174</f>
        <v>5.8353520707007375E-2</v>
      </c>
      <c r="M42" s="624">
        <f>WMT_Model!M174</f>
        <v>5.8326990016294412E-2</v>
      </c>
    </row>
    <row r="43" spans="2:15" x14ac:dyDescent="0.45">
      <c r="F43" s="484"/>
      <c r="G43" s="484"/>
      <c r="H43" s="484"/>
      <c r="I43" s="484"/>
      <c r="J43" s="484"/>
      <c r="K43" s="484"/>
      <c r="L43" s="484"/>
    </row>
    <row r="44" spans="2:15" x14ac:dyDescent="0.45">
      <c r="B44" s="11"/>
      <c r="C44" s="11"/>
      <c r="D44" s="12"/>
      <c r="E44" s="13"/>
      <c r="F44" s="13"/>
      <c r="G44" s="13"/>
      <c r="H44" s="14" t="s">
        <v>20</v>
      </c>
      <c r="I44" s="13" t="str">
        <f>WMT_Model!$I$90</f>
        <v>Projected:</v>
      </c>
      <c r="J44" s="13"/>
      <c r="K44" s="13"/>
      <c r="L44" s="13"/>
      <c r="M44" s="13"/>
    </row>
    <row r="45" spans="2:15" x14ac:dyDescent="0.45">
      <c r="B45" s="233" t="s">
        <v>396</v>
      </c>
      <c r="C45" s="233"/>
      <c r="D45" s="234" t="str">
        <f>WMT_Model!$D$91</f>
        <v>Units:</v>
      </c>
      <c r="E45" s="16"/>
      <c r="F45" s="16"/>
      <c r="G45" s="16"/>
      <c r="H45" s="17"/>
      <c r="I45" s="16">
        <f>WMT_Model!$I$20</f>
        <v>43861</v>
      </c>
      <c r="J45" s="16">
        <f>WMT_Model!$J$20</f>
        <v>44227</v>
      </c>
      <c r="K45" s="16">
        <f>WMT_Model!$K$20</f>
        <v>44592</v>
      </c>
      <c r="L45" s="16">
        <f>WMT_Model!$L$20</f>
        <v>44957</v>
      </c>
      <c r="M45" s="16">
        <f>WMT_Model!$M$20</f>
        <v>45322</v>
      </c>
    </row>
    <row r="46" spans="2:15" outlineLevel="1" x14ac:dyDescent="0.45">
      <c r="C46" s="481" t="s">
        <v>399</v>
      </c>
      <c r="D46" s="486" t="s">
        <v>458</v>
      </c>
      <c r="E46" s="487"/>
      <c r="F46" s="487"/>
      <c r="G46" s="487"/>
      <c r="H46" s="564"/>
      <c r="I46" s="564"/>
      <c r="J46" s="564"/>
      <c r="K46" s="487"/>
      <c r="L46" s="487"/>
      <c r="M46" s="487"/>
    </row>
    <row r="47" spans="2:15" outlineLevel="1" x14ac:dyDescent="0.45">
      <c r="C47" s="481" t="str">
        <f>"EV / Revenue - "&amp;Company_Name&amp;":"</f>
        <v>EV / Revenue - Walmart Inc.:</v>
      </c>
      <c r="D47" s="486" t="s">
        <v>458</v>
      </c>
      <c r="E47" s="487"/>
      <c r="F47" s="487"/>
      <c r="G47" s="487"/>
      <c r="H47" s="564"/>
      <c r="I47" s="564"/>
      <c r="J47" s="564"/>
      <c r="K47" s="487"/>
      <c r="L47" s="487"/>
      <c r="M47" s="487"/>
    </row>
    <row r="48" spans="2:15" outlineLevel="1" x14ac:dyDescent="0.45">
      <c r="C48" s="481" t="s">
        <v>397</v>
      </c>
      <c r="D48" s="235" t="s">
        <v>5</v>
      </c>
      <c r="J48" s="563"/>
    </row>
    <row r="49" spans="3:13" outlineLevel="1" x14ac:dyDescent="0.45">
      <c r="C49" s="481" t="str">
        <f>"Projected Revenue Growth - "&amp;Company_Name&amp;":"</f>
        <v>Projected Revenue Growth - Walmart Inc.:</v>
      </c>
      <c r="D49" s="235" t="s">
        <v>5</v>
      </c>
      <c r="J49" s="563"/>
    </row>
    <row r="50" spans="3:13" outlineLevel="1" x14ac:dyDescent="0.45"/>
    <row r="51" spans="3:13" outlineLevel="1" x14ac:dyDescent="0.45">
      <c r="C51" s="481" t="s">
        <v>400</v>
      </c>
      <c r="D51" s="486" t="s">
        <v>458</v>
      </c>
      <c r="E51" s="487"/>
      <c r="F51" s="487"/>
      <c r="G51" s="487"/>
      <c r="H51" s="564"/>
      <c r="I51" s="564"/>
      <c r="J51" s="564"/>
      <c r="K51" s="487"/>
      <c r="L51" s="487"/>
      <c r="M51" s="487"/>
    </row>
    <row r="52" spans="3:13" outlineLevel="1" x14ac:dyDescent="0.45">
      <c r="C52" s="481" t="str">
        <f>"EV / EBITDA - "&amp;Company_Name&amp;":"</f>
        <v>EV / EBITDA - Walmart Inc.:</v>
      </c>
      <c r="D52" s="486" t="s">
        <v>458</v>
      </c>
      <c r="E52" s="487"/>
      <c r="F52" s="487"/>
      <c r="G52" s="487"/>
      <c r="H52" s="564"/>
      <c r="I52" s="564"/>
      <c r="J52" s="564"/>
      <c r="K52" s="487"/>
      <c r="L52" s="487"/>
      <c r="M52" s="487"/>
    </row>
    <row r="53" spans="3:13" outlineLevel="1" x14ac:dyDescent="0.45">
      <c r="C53" s="481" t="s">
        <v>398</v>
      </c>
      <c r="D53" s="235" t="s">
        <v>5</v>
      </c>
      <c r="J53" s="563"/>
    </row>
    <row r="54" spans="3:13" outlineLevel="1" x14ac:dyDescent="0.45">
      <c r="C54" s="481" t="str">
        <f>"Projected EBITDA Growth - "&amp;Company_Name&amp;":"</f>
        <v>Projected EBITDA Growth - Walmart Inc.:</v>
      </c>
      <c r="D54" s="235" t="s">
        <v>5</v>
      </c>
      <c r="J54" s="563"/>
    </row>
    <row r="55" spans="3:13" outlineLevel="1" x14ac:dyDescent="0.45"/>
    <row r="56" spans="3:13" outlineLevel="1" x14ac:dyDescent="0.45">
      <c r="C56" s="481" t="s">
        <v>401</v>
      </c>
      <c r="D56" s="486" t="s">
        <v>458</v>
      </c>
      <c r="E56" s="487"/>
      <c r="F56" s="487"/>
      <c r="G56" s="487"/>
      <c r="H56" s="564"/>
      <c r="I56" s="564"/>
      <c r="J56" s="564"/>
      <c r="K56" s="487"/>
      <c r="L56" s="487"/>
      <c r="M56" s="487"/>
    </row>
    <row r="57" spans="3:13" outlineLevel="1" x14ac:dyDescent="0.45">
      <c r="C57" s="481" t="str">
        <f>"P / E - "&amp;Company_Name&amp;":"</f>
        <v>P / E - Walmart Inc.:</v>
      </c>
      <c r="D57" s="486" t="s">
        <v>458</v>
      </c>
      <c r="E57" s="487"/>
      <c r="F57" s="487"/>
      <c r="G57" s="487"/>
      <c r="H57" s="564"/>
      <c r="I57" s="564"/>
      <c r="J57" s="564"/>
      <c r="K57" s="487"/>
      <c r="L57" s="487"/>
      <c r="M57" s="487"/>
    </row>
  </sheetData>
  <pageMargins left="0.7" right="0.7" top="0.75" bottom="0.75" header="0.3" footer="0.3"/>
  <pageSetup scale="55" orientation="landscape" r:id="rId1"/>
  <headerFooter>
    <oddHeader>&amp;LWal-Mart Stores, Inc. - Operating Model and Valuation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097D4-373A-406E-B467-15A29405C62F}">
  <sheetPr codeName="Sheet11">
    <tabColor rgb="FFB2B2B2"/>
    <pageSetUpPr autoPageBreaks="0"/>
  </sheetPr>
  <dimension ref="B2:AA363"/>
  <sheetViews>
    <sheetView showGridLines="0" zoomScaleNormal="100" workbookViewId="0">
      <selection activeCell="B2" sqref="B2"/>
    </sheetView>
  </sheetViews>
  <sheetFormatPr defaultColWidth="9.15234375" defaultRowHeight="15.9" x14ac:dyDescent="0.45"/>
  <cols>
    <col min="1" max="1" width="2.69140625" style="481" customWidth="1"/>
    <col min="2" max="12" width="12.69140625" style="481" customWidth="1"/>
    <col min="13" max="14" width="2.69140625" style="481" customWidth="1"/>
    <col min="15" max="15" width="9.15234375" style="481"/>
    <col min="16" max="16" width="28.69140625" style="481" bestFit="1" customWidth="1"/>
    <col min="17" max="27" width="11.4609375" style="481" customWidth="1"/>
    <col min="28" max="16384" width="9.15234375" style="481"/>
  </cols>
  <sheetData>
    <row r="2" spans="2:21" x14ac:dyDescent="0.45">
      <c r="B2" s="480" t="str">
        <f>"Graphs and Analysis of Financial Model Output - "&amp;TEXT(Company_Name,"")</f>
        <v>Graphs and Analysis of Financial Model Output - Walmart Inc.</v>
      </c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P2" s="490" t="s">
        <v>387</v>
      </c>
      <c r="Q2" s="490" t="s">
        <v>28</v>
      </c>
      <c r="R2" s="490" t="s">
        <v>29</v>
      </c>
      <c r="S2" s="490" t="s">
        <v>31</v>
      </c>
      <c r="U2" s="482"/>
    </row>
    <row r="3" spans="2:21" x14ac:dyDescent="0.45">
      <c r="P3" s="506"/>
      <c r="Q3" s="504"/>
      <c r="R3" s="491"/>
      <c r="S3" s="492"/>
    </row>
    <row r="4" spans="2:21" x14ac:dyDescent="0.45">
      <c r="P4" s="506"/>
      <c r="Q4" s="505"/>
      <c r="R4" s="493"/>
      <c r="S4" s="492"/>
    </row>
    <row r="5" spans="2:21" x14ac:dyDescent="0.45">
      <c r="P5" s="506"/>
      <c r="Q5" s="505"/>
      <c r="R5" s="493"/>
      <c r="S5" s="492"/>
    </row>
    <row r="6" spans="2:21" x14ac:dyDescent="0.45">
      <c r="P6" s="506"/>
      <c r="Q6" s="505"/>
      <c r="R6" s="493"/>
      <c r="S6" s="492"/>
    </row>
    <row r="7" spans="2:21" x14ac:dyDescent="0.45">
      <c r="P7" s="506"/>
      <c r="Q7" s="505"/>
      <c r="R7" s="493"/>
      <c r="S7" s="492"/>
    </row>
    <row r="8" spans="2:21" x14ac:dyDescent="0.45">
      <c r="P8" s="506"/>
      <c r="Q8" s="505"/>
      <c r="R8" s="493"/>
      <c r="S8" s="492"/>
    </row>
    <row r="9" spans="2:21" x14ac:dyDescent="0.45">
      <c r="P9" s="506"/>
      <c r="Q9" s="505"/>
      <c r="R9" s="493"/>
      <c r="S9" s="492"/>
    </row>
    <row r="10" spans="2:21" x14ac:dyDescent="0.45">
      <c r="P10" s="506"/>
      <c r="Q10" s="505"/>
      <c r="R10" s="493"/>
      <c r="S10" s="492"/>
    </row>
    <row r="11" spans="2:21" x14ac:dyDescent="0.45">
      <c r="P11" s="506"/>
      <c r="Q11" s="505"/>
      <c r="R11" s="493"/>
      <c r="S11" s="492"/>
    </row>
    <row r="13" spans="2:21" x14ac:dyDescent="0.45">
      <c r="P13" s="482" t="s">
        <v>388</v>
      </c>
    </row>
    <row r="15" spans="2:21" x14ac:dyDescent="0.45">
      <c r="P15" s="482" t="s">
        <v>389</v>
      </c>
      <c r="Q15" s="494"/>
      <c r="R15" s="495"/>
      <c r="S15" s="496"/>
    </row>
    <row r="16" spans="2:21" x14ac:dyDescent="0.45">
      <c r="P16" s="490" t="s">
        <v>387</v>
      </c>
      <c r="Q16" s="490" t="s">
        <v>28</v>
      </c>
      <c r="R16" s="490" t="s">
        <v>29</v>
      </c>
      <c r="S16" s="490" t="s">
        <v>31</v>
      </c>
    </row>
    <row r="17" spans="16:19" x14ac:dyDescent="0.45">
      <c r="P17" s="506"/>
      <c r="Q17" s="491"/>
      <c r="R17" s="491"/>
      <c r="S17" s="492"/>
    </row>
    <row r="18" spans="16:19" x14ac:dyDescent="0.45">
      <c r="P18" s="506"/>
      <c r="Q18" s="493"/>
      <c r="R18" s="493"/>
      <c r="S18" s="492"/>
    </row>
    <row r="19" spans="16:19" x14ac:dyDescent="0.45">
      <c r="P19" s="506"/>
      <c r="Q19" s="493"/>
      <c r="R19" s="493"/>
      <c r="S19" s="492"/>
    </row>
    <row r="20" spans="16:19" x14ac:dyDescent="0.45">
      <c r="P20" s="506"/>
      <c r="Q20" s="493"/>
      <c r="R20" s="493"/>
      <c r="S20" s="492"/>
    </row>
    <row r="24" spans="16:19" x14ac:dyDescent="0.45">
      <c r="P24" s="481" t="str">
        <f>Company_Name&amp;": Revenue, EBITDA, and Margins, FY"&amp;TEXT(P17,"yy")&amp;" to FY"&amp;TEXT(P20,"yy")</f>
        <v>Walmart Inc.: Revenue, EBITDA, and Margins, FY00 to FY00</v>
      </c>
    </row>
    <row r="30" spans="16:19" x14ac:dyDescent="0.45">
      <c r="P30" s="481" t="str">
        <f>Company_Name&amp;": Revenue and Operating Margins"</f>
        <v>Walmart Inc.: Revenue and Operating Margins</v>
      </c>
    </row>
    <row r="31" spans="16:19" x14ac:dyDescent="0.45">
      <c r="P31" s="481" t="str">
        <f>Company_Name&amp;": Total Retail Square Feet and Sales per Square Foot"</f>
        <v>Walmart Inc.: Total Retail Square Feet and Sales per Square Foot</v>
      </c>
    </row>
    <row r="33" spans="16:16" x14ac:dyDescent="0.45">
      <c r="P33" s="482"/>
    </row>
    <row r="45" spans="16:16" x14ac:dyDescent="0.45">
      <c r="P45" s="481" t="str">
        <f>Company_Name&amp;": Revenue by Segment"</f>
        <v>Walmart Inc.: Revenue by Segment</v>
      </c>
    </row>
    <row r="46" spans="16:16" x14ac:dyDescent="0.45">
      <c r="P46" s="481" t="str">
        <f>Company_Name&amp;": Operating Income by Segment"</f>
        <v>Walmart Inc.: Operating Income by Segment</v>
      </c>
    </row>
    <row r="60" spans="2:18" x14ac:dyDescent="0.45">
      <c r="B60" s="480" t="str">
        <f>Company_Name&amp;" - Valuation Graphs and Analysis"</f>
        <v>Walmart Inc. - Valuation Graphs and Analysis</v>
      </c>
      <c r="C60" s="480"/>
      <c r="D60" s="480"/>
      <c r="E60" s="480"/>
      <c r="F60" s="480"/>
      <c r="G60" s="480"/>
      <c r="H60" s="480"/>
      <c r="I60" s="480"/>
      <c r="J60" s="480"/>
      <c r="K60" s="480"/>
      <c r="L60" s="480"/>
      <c r="M60" s="480"/>
      <c r="P60" s="482"/>
    </row>
    <row r="62" spans="2:18" x14ac:dyDescent="0.45">
      <c r="P62" s="481" t="str">
        <f>"Annual Revenue, FY"&amp;TEXT(Forward_Year_1,"yy")&amp;" - FY"&amp;TEXT(Forward_Year_2,"yy")</f>
        <v>Annual Revenue, FY20 - FY21</v>
      </c>
      <c r="Q62" s="481" t="str">
        <f>"FY"&amp;TEXT(Forward_Year_1,"yy")</f>
        <v>FY20</v>
      </c>
      <c r="R62" s="481" t="str">
        <f>"FY"&amp;TEXT(Forward_Year_2,"yy")</f>
        <v>FY21</v>
      </c>
    </row>
    <row r="63" spans="2:18" x14ac:dyDescent="0.45">
      <c r="P63" s="481" t="str">
        <f>"Annual EBITDA, FY"&amp;TEXT(Forward_Year_1,"yy")&amp;" - FY"&amp;TEXT(Forward_Year_2,"yy")</f>
        <v>Annual EBITDA, FY20 - FY21</v>
      </c>
      <c r="Q63" s="481" t="str">
        <f>"FY"&amp;TEXT(Forward_Year_1,"yy")</f>
        <v>FY20</v>
      </c>
      <c r="R63" s="481" t="str">
        <f>"FY"&amp;TEXT(Forward_Year_2,"yy")</f>
        <v>FY21</v>
      </c>
    </row>
    <row r="69" spans="16:16" x14ac:dyDescent="0.45">
      <c r="P69" s="482"/>
    </row>
    <row r="77" spans="16:16" x14ac:dyDescent="0.45">
      <c r="P77" s="481" t="str">
        <f>"Projected Revenue Growth, FY"&amp;TEXT(Forward_Year_1,"yy")&amp;" - FY"&amp;TEXT(Forward_Year_2,"yy")</f>
        <v>Projected Revenue Growth, FY20 - FY21</v>
      </c>
    </row>
    <row r="78" spans="16:16" x14ac:dyDescent="0.45">
      <c r="P78" s="481" t="str">
        <f>"Projected EBITDA Growth, FY"&amp;TEXT(Forward_Year_1,"yy")&amp;" - FY"&amp;TEXT(Forward_Year_2,"yy")</f>
        <v>Projected EBITDA Growth, FY20 - FY21</v>
      </c>
    </row>
    <row r="80" spans="16:16" x14ac:dyDescent="0.45">
      <c r="P80" s="481" t="str">
        <f>"FY"&amp;TEXT(Forward_Year_2,"yy")&amp;" Revenue Multiples"</f>
        <v>FY21 Revenue Multiples</v>
      </c>
    </row>
    <row r="81" spans="16:27" x14ac:dyDescent="0.45">
      <c r="P81" s="481" t="str">
        <f>"FY"&amp;TEXT(Forward_Year_2,"yy")&amp;" EBITDA Multiples"</f>
        <v>FY21 EBITDA Multiples</v>
      </c>
    </row>
    <row r="87" spans="16:27" x14ac:dyDescent="0.45">
      <c r="P87" s="482" t="s">
        <v>390</v>
      </c>
    </row>
    <row r="88" spans="16:27" x14ac:dyDescent="0.45">
      <c r="Q88" s="497" t="s">
        <v>4</v>
      </c>
      <c r="R88" s="498"/>
      <c r="T88" s="497" t="s">
        <v>14</v>
      </c>
      <c r="U88" s="498"/>
      <c r="W88" s="497" t="s">
        <v>178</v>
      </c>
      <c r="X88" s="498"/>
      <c r="Z88" s="497" t="s">
        <v>179</v>
      </c>
      <c r="AA88" s="497"/>
    </row>
    <row r="89" spans="16:27" x14ac:dyDescent="0.45">
      <c r="Q89" s="507"/>
      <c r="R89" s="507"/>
      <c r="T89" s="508"/>
      <c r="U89" s="508"/>
      <c r="W89" s="508"/>
      <c r="X89" s="508"/>
      <c r="Z89" s="508"/>
      <c r="AA89" s="508"/>
    </row>
    <row r="90" spans="16:27" x14ac:dyDescent="0.45">
      <c r="P90" s="481" t="s">
        <v>338</v>
      </c>
      <c r="Q90" s="499"/>
      <c r="R90" s="499"/>
      <c r="T90" s="499"/>
      <c r="U90" s="499"/>
      <c r="V90" s="500"/>
      <c r="W90" s="501"/>
      <c r="X90" s="501"/>
      <c r="Z90" s="501"/>
      <c r="AA90" s="501"/>
    </row>
    <row r="91" spans="16:27" x14ac:dyDescent="0.45">
      <c r="P91" s="481" t="s">
        <v>337</v>
      </c>
      <c r="Q91" s="502"/>
      <c r="R91" s="502"/>
      <c r="T91" s="502"/>
      <c r="U91" s="502"/>
      <c r="V91" s="500"/>
      <c r="W91" s="501"/>
      <c r="X91" s="501"/>
      <c r="Z91" s="501"/>
      <c r="AA91" s="501"/>
    </row>
    <row r="92" spans="16:27" x14ac:dyDescent="0.45">
      <c r="P92" s="481" t="s">
        <v>333</v>
      </c>
      <c r="Q92" s="502"/>
      <c r="R92" s="502"/>
      <c r="T92" s="502"/>
      <c r="U92" s="502"/>
      <c r="V92" s="500"/>
      <c r="W92" s="501"/>
      <c r="X92" s="501"/>
      <c r="Z92" s="501"/>
      <c r="AA92" s="501"/>
    </row>
    <row r="93" spans="16:27" x14ac:dyDescent="0.45">
      <c r="P93" s="481" t="s">
        <v>335</v>
      </c>
      <c r="Q93" s="502"/>
      <c r="R93" s="502"/>
      <c r="T93" s="502"/>
      <c r="U93" s="502"/>
      <c r="V93" s="500"/>
      <c r="W93" s="501"/>
      <c r="X93" s="501"/>
      <c r="Z93" s="501"/>
      <c r="AA93" s="501"/>
    </row>
    <row r="94" spans="16:27" x14ac:dyDescent="0.45">
      <c r="P94" s="481" t="s">
        <v>331</v>
      </c>
      <c r="Q94" s="502"/>
      <c r="R94" s="502"/>
      <c r="T94" s="502"/>
      <c r="U94" s="502"/>
      <c r="V94" s="500"/>
      <c r="W94" s="501"/>
      <c r="X94" s="501"/>
      <c r="Z94" s="501"/>
      <c r="AA94" s="501"/>
    </row>
    <row r="95" spans="16:27" x14ac:dyDescent="0.45">
      <c r="P95" s="512" t="s">
        <v>186</v>
      </c>
      <c r="Q95" s="502"/>
      <c r="R95" s="502"/>
      <c r="T95" s="502"/>
      <c r="U95" s="502"/>
      <c r="V95" s="500"/>
      <c r="W95" s="501"/>
      <c r="X95" s="501"/>
      <c r="Z95" s="501"/>
      <c r="AA95" s="501"/>
    </row>
    <row r="97" spans="2:27" x14ac:dyDescent="0.45">
      <c r="P97" s="482" t="s">
        <v>180</v>
      </c>
    </row>
    <row r="98" spans="2:27" x14ac:dyDescent="0.45">
      <c r="Q98" s="497" t="s">
        <v>6</v>
      </c>
      <c r="R98" s="498"/>
      <c r="T98" s="497" t="s">
        <v>181</v>
      </c>
      <c r="U98" s="497"/>
      <c r="W98" s="497" t="s">
        <v>182</v>
      </c>
      <c r="X98" s="498"/>
      <c r="Z98" s="497" t="s">
        <v>183</v>
      </c>
      <c r="AA98" s="497"/>
    </row>
    <row r="99" spans="2:27" x14ac:dyDescent="0.45">
      <c r="Q99" s="511"/>
      <c r="R99" s="503"/>
      <c r="T99" s="511"/>
      <c r="U99" s="503"/>
      <c r="W99" s="508"/>
      <c r="X99" s="503"/>
      <c r="Z99" s="508"/>
      <c r="AA99" s="503"/>
    </row>
    <row r="100" spans="2:27" x14ac:dyDescent="0.45">
      <c r="P100" s="481" t="s">
        <v>338</v>
      </c>
      <c r="Q100" s="513"/>
      <c r="R100" s="513"/>
      <c r="T100" s="513"/>
      <c r="U100" s="513"/>
      <c r="W100" s="514"/>
      <c r="X100" s="514"/>
      <c r="Z100" s="501"/>
      <c r="AA100" s="514"/>
    </row>
    <row r="101" spans="2:27" x14ac:dyDescent="0.45">
      <c r="P101" s="481" t="s">
        <v>335</v>
      </c>
      <c r="Q101" s="513"/>
      <c r="R101" s="513"/>
      <c r="T101" s="513"/>
      <c r="U101" s="513"/>
      <c r="W101" s="514"/>
      <c r="X101" s="514"/>
      <c r="Z101" s="501"/>
      <c r="AA101" s="514"/>
    </row>
    <row r="102" spans="2:27" x14ac:dyDescent="0.45">
      <c r="P102" s="481" t="s">
        <v>333</v>
      </c>
      <c r="Q102" s="513"/>
      <c r="R102" s="513"/>
      <c r="T102" s="513"/>
      <c r="U102" s="513"/>
      <c r="W102" s="514"/>
      <c r="X102" s="514"/>
      <c r="Z102" s="501"/>
      <c r="AA102" s="514"/>
    </row>
    <row r="103" spans="2:27" x14ac:dyDescent="0.45">
      <c r="P103" s="481" t="s">
        <v>337</v>
      </c>
      <c r="Q103" s="513"/>
      <c r="R103" s="513"/>
      <c r="T103" s="513"/>
      <c r="U103" s="513"/>
      <c r="W103" s="514"/>
      <c r="X103" s="514"/>
      <c r="Z103" s="501"/>
      <c r="AA103" s="514"/>
    </row>
    <row r="104" spans="2:27" x14ac:dyDescent="0.45">
      <c r="P104" s="512" t="s">
        <v>186</v>
      </c>
      <c r="Q104" s="513"/>
      <c r="R104" s="513"/>
      <c r="T104" s="513"/>
      <c r="U104" s="513"/>
      <c r="W104" s="514"/>
      <c r="X104" s="514"/>
      <c r="Z104" s="501"/>
      <c r="AA104" s="514"/>
    </row>
    <row r="105" spans="2:27" x14ac:dyDescent="0.45">
      <c r="P105" s="481" t="s">
        <v>331</v>
      </c>
      <c r="Q105" s="513"/>
      <c r="R105" s="513"/>
      <c r="T105" s="513"/>
      <c r="U105" s="513"/>
      <c r="W105" s="514"/>
      <c r="X105" s="514"/>
      <c r="Z105" s="501"/>
      <c r="AA105" s="514"/>
    </row>
    <row r="109" spans="2:27" x14ac:dyDescent="0.45">
      <c r="B109" s="480" t="str">
        <f>Company_Name&amp;" and Comparable Public Companies - Price-Volume Graphs"</f>
        <v>Walmart Inc. and Comparable Public Companies - Price-Volume Graphs</v>
      </c>
      <c r="C109" s="480"/>
      <c r="D109" s="480"/>
      <c r="E109" s="480"/>
      <c r="F109" s="480"/>
      <c r="G109" s="480"/>
      <c r="H109" s="480"/>
      <c r="I109" s="480"/>
      <c r="J109" s="480"/>
      <c r="K109" s="480"/>
      <c r="L109" s="480"/>
      <c r="M109" s="480"/>
    </row>
    <row r="111" spans="2:27" x14ac:dyDescent="0.45">
      <c r="P111" s="481" t="s">
        <v>70</v>
      </c>
      <c r="Q111" s="481" t="s">
        <v>391</v>
      </c>
      <c r="R111" s="481" t="s">
        <v>184</v>
      </c>
      <c r="V111" s="481" t="s">
        <v>70</v>
      </c>
      <c r="W111" s="481" t="s">
        <v>391</v>
      </c>
      <c r="X111" s="481" t="s">
        <v>184</v>
      </c>
    </row>
    <row r="112" spans="2:27" x14ac:dyDescent="0.45">
      <c r="P112" s="519"/>
      <c r="Q112" s="516"/>
      <c r="R112" s="517"/>
      <c r="V112" s="519"/>
      <c r="W112" s="516"/>
      <c r="X112" s="517"/>
    </row>
    <row r="113" spans="16:24" x14ac:dyDescent="0.45">
      <c r="P113" s="519"/>
      <c r="Q113" s="515"/>
      <c r="R113" s="518"/>
      <c r="V113" s="519"/>
      <c r="W113" s="515"/>
      <c r="X113" s="518"/>
    </row>
    <row r="114" spans="16:24" x14ac:dyDescent="0.45">
      <c r="P114" s="519"/>
      <c r="Q114" s="515"/>
      <c r="R114" s="518"/>
      <c r="V114" s="519"/>
      <c r="W114" s="515"/>
      <c r="X114" s="518"/>
    </row>
    <row r="115" spans="16:24" x14ac:dyDescent="0.45">
      <c r="P115" s="519"/>
      <c r="Q115" s="515"/>
      <c r="R115" s="518"/>
      <c r="V115" s="519"/>
      <c r="W115" s="515"/>
      <c r="X115" s="518"/>
    </row>
    <row r="116" spans="16:24" x14ac:dyDescent="0.45">
      <c r="P116" s="519"/>
      <c r="Q116" s="515"/>
      <c r="R116" s="518"/>
      <c r="V116" s="519"/>
      <c r="W116" s="515"/>
      <c r="X116" s="518"/>
    </row>
    <row r="117" spans="16:24" x14ac:dyDescent="0.45">
      <c r="P117" s="519"/>
      <c r="Q117" s="515"/>
      <c r="R117" s="518"/>
      <c r="V117" s="519"/>
      <c r="W117" s="515"/>
      <c r="X117" s="518"/>
    </row>
    <row r="118" spans="16:24" x14ac:dyDescent="0.45">
      <c r="P118" s="519"/>
      <c r="Q118" s="515"/>
      <c r="R118" s="518"/>
      <c r="V118" s="519"/>
      <c r="W118" s="515"/>
      <c r="X118" s="518"/>
    </row>
    <row r="119" spans="16:24" x14ac:dyDescent="0.45">
      <c r="P119" s="519"/>
      <c r="Q119" s="515"/>
      <c r="R119" s="518"/>
      <c r="V119" s="519"/>
      <c r="W119" s="515"/>
      <c r="X119" s="518"/>
    </row>
    <row r="120" spans="16:24" x14ac:dyDescent="0.45">
      <c r="P120" s="519"/>
      <c r="Q120" s="515"/>
      <c r="R120" s="518"/>
      <c r="V120" s="519"/>
      <c r="W120" s="515"/>
      <c r="X120" s="518"/>
    </row>
    <row r="121" spans="16:24" x14ac:dyDescent="0.45">
      <c r="P121" s="519"/>
      <c r="Q121" s="515"/>
      <c r="R121" s="518"/>
      <c r="V121" s="519"/>
      <c r="W121" s="515"/>
      <c r="X121" s="518"/>
    </row>
    <row r="122" spans="16:24" x14ac:dyDescent="0.45">
      <c r="P122" s="519"/>
      <c r="Q122" s="515"/>
      <c r="R122" s="518"/>
      <c r="V122" s="519"/>
      <c r="W122" s="515"/>
      <c r="X122" s="518"/>
    </row>
    <row r="123" spans="16:24" x14ac:dyDescent="0.45">
      <c r="P123" s="519"/>
      <c r="Q123" s="515"/>
      <c r="R123" s="518"/>
      <c r="V123" s="519"/>
      <c r="W123" s="515"/>
      <c r="X123" s="518"/>
    </row>
    <row r="124" spans="16:24" x14ac:dyDescent="0.45">
      <c r="P124" s="519"/>
      <c r="Q124" s="515"/>
      <c r="R124" s="518"/>
      <c r="V124" s="519"/>
      <c r="W124" s="515"/>
      <c r="X124" s="518"/>
    </row>
    <row r="125" spans="16:24" x14ac:dyDescent="0.45">
      <c r="P125" s="519"/>
      <c r="Q125" s="515"/>
      <c r="R125" s="518"/>
      <c r="V125" s="519"/>
      <c r="W125" s="515"/>
      <c r="X125" s="518"/>
    </row>
    <row r="126" spans="16:24" x14ac:dyDescent="0.45">
      <c r="P126" s="519"/>
      <c r="Q126" s="515"/>
      <c r="R126" s="518"/>
      <c r="V126" s="519"/>
      <c r="W126" s="515"/>
      <c r="X126" s="518"/>
    </row>
    <row r="127" spans="16:24" x14ac:dyDescent="0.45">
      <c r="P127" s="519"/>
      <c r="Q127" s="515"/>
      <c r="R127" s="518"/>
      <c r="V127" s="519"/>
      <c r="W127" s="515"/>
      <c r="X127" s="518"/>
    </row>
    <row r="128" spans="16:24" x14ac:dyDescent="0.45">
      <c r="P128" s="519"/>
      <c r="Q128" s="515"/>
      <c r="R128" s="518"/>
      <c r="V128" s="519"/>
      <c r="W128" s="515"/>
      <c r="X128" s="518"/>
    </row>
    <row r="129" spans="16:24" x14ac:dyDescent="0.45">
      <c r="P129" s="519"/>
      <c r="Q129" s="515"/>
      <c r="R129" s="518"/>
      <c r="V129" s="519"/>
      <c r="W129" s="515"/>
      <c r="X129" s="518"/>
    </row>
    <row r="130" spans="16:24" x14ac:dyDescent="0.45">
      <c r="P130" s="519"/>
      <c r="Q130" s="515"/>
      <c r="R130" s="518"/>
      <c r="V130" s="519"/>
      <c r="W130" s="515"/>
      <c r="X130" s="518"/>
    </row>
    <row r="131" spans="16:24" x14ac:dyDescent="0.45">
      <c r="P131" s="519"/>
      <c r="Q131" s="515"/>
      <c r="R131" s="518"/>
      <c r="V131" s="519"/>
      <c r="W131" s="515"/>
      <c r="X131" s="518"/>
    </row>
    <row r="132" spans="16:24" x14ac:dyDescent="0.45">
      <c r="P132" s="519"/>
      <c r="Q132" s="515"/>
      <c r="R132" s="518"/>
      <c r="V132" s="519"/>
      <c r="W132" s="515"/>
      <c r="X132" s="518"/>
    </row>
    <row r="133" spans="16:24" x14ac:dyDescent="0.45">
      <c r="P133" s="519"/>
      <c r="Q133" s="515"/>
      <c r="R133" s="518"/>
      <c r="V133" s="519"/>
      <c r="W133" s="515"/>
      <c r="X133" s="518"/>
    </row>
    <row r="134" spans="16:24" x14ac:dyDescent="0.45">
      <c r="P134" s="519"/>
      <c r="Q134" s="515"/>
      <c r="R134" s="518"/>
      <c r="V134" s="519"/>
      <c r="W134" s="515"/>
      <c r="X134" s="518"/>
    </row>
    <row r="135" spans="16:24" x14ac:dyDescent="0.45">
      <c r="P135" s="519"/>
      <c r="Q135" s="515"/>
      <c r="R135" s="518"/>
      <c r="V135" s="519"/>
      <c r="W135" s="515"/>
      <c r="X135" s="518"/>
    </row>
    <row r="136" spans="16:24" x14ac:dyDescent="0.45">
      <c r="P136" s="519"/>
      <c r="Q136" s="515"/>
      <c r="R136" s="518"/>
      <c r="V136" s="519"/>
      <c r="W136" s="515"/>
      <c r="X136" s="518"/>
    </row>
    <row r="137" spans="16:24" x14ac:dyDescent="0.45">
      <c r="P137" s="519"/>
      <c r="Q137" s="515"/>
      <c r="R137" s="518"/>
      <c r="V137" s="519"/>
      <c r="W137" s="515"/>
      <c r="X137" s="518"/>
    </row>
    <row r="138" spans="16:24" x14ac:dyDescent="0.45">
      <c r="P138" s="519"/>
      <c r="Q138" s="515"/>
      <c r="R138" s="518"/>
      <c r="V138" s="519"/>
      <c r="W138" s="515"/>
      <c r="X138" s="518"/>
    </row>
    <row r="139" spans="16:24" x14ac:dyDescent="0.45">
      <c r="P139" s="519"/>
      <c r="Q139" s="515"/>
      <c r="R139" s="518"/>
      <c r="V139" s="519"/>
      <c r="W139" s="515"/>
      <c r="X139" s="518"/>
    </row>
    <row r="140" spans="16:24" x14ac:dyDescent="0.45">
      <c r="P140" s="519"/>
      <c r="Q140" s="515"/>
      <c r="R140" s="518"/>
      <c r="V140" s="519"/>
      <c r="W140" s="515"/>
      <c r="X140" s="518"/>
    </row>
    <row r="141" spans="16:24" x14ac:dyDescent="0.45">
      <c r="P141" s="519"/>
      <c r="Q141" s="515"/>
      <c r="R141" s="518"/>
      <c r="V141" s="519"/>
      <c r="W141" s="515"/>
      <c r="X141" s="518"/>
    </row>
    <row r="142" spans="16:24" x14ac:dyDescent="0.45">
      <c r="P142" s="519"/>
      <c r="Q142" s="515"/>
      <c r="R142" s="518"/>
      <c r="V142" s="519"/>
      <c r="W142" s="515"/>
      <c r="X142" s="518"/>
    </row>
    <row r="143" spans="16:24" x14ac:dyDescent="0.45">
      <c r="P143" s="519"/>
      <c r="Q143" s="515"/>
      <c r="R143" s="518"/>
      <c r="V143" s="519"/>
      <c r="W143" s="515"/>
      <c r="X143" s="518"/>
    </row>
    <row r="144" spans="16:24" x14ac:dyDescent="0.45">
      <c r="P144" s="519"/>
      <c r="Q144" s="515"/>
      <c r="R144" s="518"/>
      <c r="V144" s="519"/>
      <c r="W144" s="515"/>
      <c r="X144" s="518"/>
    </row>
    <row r="145" spans="2:24" x14ac:dyDescent="0.45">
      <c r="P145" s="519"/>
      <c r="Q145" s="515"/>
      <c r="R145" s="518"/>
      <c r="V145" s="519"/>
      <c r="W145" s="515"/>
      <c r="X145" s="518"/>
    </row>
    <row r="146" spans="2:24" x14ac:dyDescent="0.45">
      <c r="P146" s="519"/>
      <c r="Q146" s="515"/>
      <c r="R146" s="518"/>
      <c r="V146" s="519"/>
      <c r="W146" s="515"/>
      <c r="X146" s="518"/>
    </row>
    <row r="147" spans="2:24" x14ac:dyDescent="0.45">
      <c r="P147" s="519"/>
      <c r="Q147" s="515"/>
      <c r="R147" s="518"/>
      <c r="V147" s="519"/>
      <c r="W147" s="515"/>
      <c r="X147" s="518"/>
    </row>
    <row r="148" spans="2:24" x14ac:dyDescent="0.45">
      <c r="P148" s="519"/>
      <c r="Q148" s="515"/>
      <c r="R148" s="518"/>
      <c r="V148" s="519"/>
      <c r="W148" s="515"/>
      <c r="X148" s="518"/>
    </row>
    <row r="149" spans="2:24" x14ac:dyDescent="0.45">
      <c r="P149" s="519"/>
      <c r="Q149" s="515"/>
      <c r="R149" s="518"/>
      <c r="V149" s="519"/>
      <c r="W149" s="515"/>
      <c r="X149" s="518"/>
    </row>
    <row r="150" spans="2:24" x14ac:dyDescent="0.45">
      <c r="P150" s="519"/>
      <c r="Q150" s="515"/>
      <c r="R150" s="518"/>
      <c r="V150" s="519"/>
      <c r="W150" s="515"/>
      <c r="X150" s="518"/>
    </row>
    <row r="151" spans="2:24" x14ac:dyDescent="0.45">
      <c r="B151" s="482"/>
      <c r="P151" s="519"/>
      <c r="Q151" s="515"/>
      <c r="R151" s="518"/>
      <c r="V151" s="519"/>
      <c r="W151" s="515"/>
      <c r="X151" s="518"/>
    </row>
    <row r="152" spans="2:24" x14ac:dyDescent="0.45">
      <c r="P152" s="519"/>
      <c r="Q152" s="515"/>
      <c r="R152" s="518"/>
      <c r="V152" s="519"/>
      <c r="W152" s="515"/>
      <c r="X152" s="518"/>
    </row>
    <row r="153" spans="2:24" x14ac:dyDescent="0.45">
      <c r="P153" s="519"/>
      <c r="Q153" s="515"/>
      <c r="R153" s="518"/>
      <c r="V153" s="519"/>
      <c r="W153" s="515"/>
      <c r="X153" s="518"/>
    </row>
    <row r="154" spans="2:24" x14ac:dyDescent="0.45">
      <c r="P154" s="519"/>
      <c r="Q154" s="515"/>
      <c r="R154" s="518"/>
      <c r="V154" s="519"/>
      <c r="W154" s="515"/>
      <c r="X154" s="518"/>
    </row>
    <row r="155" spans="2:24" x14ac:dyDescent="0.45">
      <c r="P155" s="519"/>
      <c r="Q155" s="515"/>
      <c r="R155" s="518"/>
      <c r="V155" s="519"/>
      <c r="W155" s="515"/>
      <c r="X155" s="518"/>
    </row>
    <row r="156" spans="2:24" x14ac:dyDescent="0.45">
      <c r="P156" s="519"/>
      <c r="Q156" s="515"/>
      <c r="R156" s="518"/>
      <c r="V156" s="519"/>
      <c r="W156" s="515"/>
      <c r="X156" s="518"/>
    </row>
    <row r="157" spans="2:24" x14ac:dyDescent="0.45">
      <c r="P157" s="519"/>
      <c r="Q157" s="515"/>
      <c r="R157" s="518"/>
      <c r="V157" s="519"/>
      <c r="W157" s="515"/>
      <c r="X157" s="518"/>
    </row>
    <row r="158" spans="2:24" x14ac:dyDescent="0.45">
      <c r="P158" s="519"/>
      <c r="Q158" s="515"/>
      <c r="R158" s="518"/>
      <c r="V158" s="519"/>
      <c r="W158" s="515"/>
      <c r="X158" s="518"/>
    </row>
    <row r="159" spans="2:24" x14ac:dyDescent="0.45">
      <c r="P159" s="519"/>
      <c r="Q159" s="515"/>
      <c r="R159" s="518"/>
      <c r="V159" s="519"/>
      <c r="W159" s="515"/>
      <c r="X159" s="518"/>
    </row>
    <row r="160" spans="2:24" x14ac:dyDescent="0.45">
      <c r="P160" s="519"/>
      <c r="Q160" s="515"/>
      <c r="R160" s="518"/>
      <c r="V160" s="519"/>
      <c r="W160" s="515"/>
      <c r="X160" s="518"/>
    </row>
    <row r="161" spans="2:24" x14ac:dyDescent="0.45">
      <c r="P161" s="519"/>
      <c r="Q161" s="515"/>
      <c r="R161" s="518"/>
      <c r="V161" s="519"/>
      <c r="W161" s="515"/>
      <c r="X161" s="518"/>
    </row>
    <row r="162" spans="2:24" x14ac:dyDescent="0.45">
      <c r="P162" s="519"/>
      <c r="Q162" s="515"/>
      <c r="R162" s="518"/>
      <c r="V162" s="519"/>
      <c r="W162" s="515"/>
      <c r="X162" s="518"/>
    </row>
    <row r="163" spans="2:24" x14ac:dyDescent="0.45">
      <c r="P163" s="519"/>
      <c r="Q163" s="515"/>
      <c r="R163" s="518"/>
      <c r="V163" s="519"/>
      <c r="W163" s="515"/>
      <c r="X163" s="518"/>
    </row>
    <row r="164" spans="2:24" x14ac:dyDescent="0.45">
      <c r="P164" s="519"/>
      <c r="Q164" s="515"/>
      <c r="R164" s="518"/>
      <c r="V164" s="519"/>
      <c r="W164" s="515"/>
      <c r="X164" s="518"/>
    </row>
    <row r="165" spans="2:24" x14ac:dyDescent="0.45">
      <c r="P165" s="519"/>
      <c r="Q165" s="515"/>
      <c r="R165" s="518"/>
      <c r="V165" s="519"/>
      <c r="W165" s="515"/>
      <c r="X165" s="518"/>
    </row>
    <row r="166" spans="2:24" x14ac:dyDescent="0.45">
      <c r="P166" s="519"/>
      <c r="Q166" s="515"/>
      <c r="R166" s="518"/>
      <c r="V166" s="519"/>
      <c r="W166" s="515"/>
      <c r="X166" s="518"/>
    </row>
    <row r="167" spans="2:24" x14ac:dyDescent="0.45">
      <c r="P167" s="519"/>
      <c r="Q167" s="515"/>
      <c r="R167" s="518"/>
      <c r="V167" s="519"/>
      <c r="W167" s="515"/>
      <c r="X167" s="518"/>
    </row>
    <row r="168" spans="2:24" x14ac:dyDescent="0.45">
      <c r="P168" s="519"/>
      <c r="Q168" s="515"/>
      <c r="R168" s="518"/>
      <c r="V168" s="519"/>
      <c r="W168" s="515"/>
      <c r="X168" s="518"/>
    </row>
    <row r="169" spans="2:24" x14ac:dyDescent="0.45">
      <c r="B169" s="482"/>
      <c r="P169" s="519"/>
      <c r="Q169" s="515"/>
      <c r="R169" s="518"/>
      <c r="V169" s="519"/>
      <c r="W169" s="515"/>
      <c r="X169" s="518"/>
    </row>
    <row r="170" spans="2:24" x14ac:dyDescent="0.45">
      <c r="P170" s="519"/>
      <c r="Q170" s="515"/>
      <c r="R170" s="518"/>
      <c r="V170" s="519"/>
      <c r="W170" s="515"/>
      <c r="X170" s="518"/>
    </row>
    <row r="171" spans="2:24" x14ac:dyDescent="0.45">
      <c r="P171" s="519"/>
      <c r="Q171" s="515"/>
      <c r="R171" s="518"/>
      <c r="V171" s="519"/>
      <c r="W171" s="515"/>
      <c r="X171" s="518"/>
    </row>
    <row r="172" spans="2:24" x14ac:dyDescent="0.45">
      <c r="P172" s="519"/>
      <c r="Q172" s="515"/>
      <c r="R172" s="518"/>
      <c r="V172" s="519"/>
      <c r="W172" s="515"/>
      <c r="X172" s="518"/>
    </row>
    <row r="173" spans="2:24" x14ac:dyDescent="0.45">
      <c r="P173" s="519"/>
      <c r="Q173" s="515"/>
      <c r="R173" s="518"/>
      <c r="V173" s="519"/>
      <c r="W173" s="515"/>
      <c r="X173" s="518"/>
    </row>
    <row r="174" spans="2:24" x14ac:dyDescent="0.45">
      <c r="P174" s="519"/>
      <c r="Q174" s="515"/>
      <c r="R174" s="518"/>
      <c r="V174" s="519"/>
      <c r="W174" s="515"/>
      <c r="X174" s="518"/>
    </row>
    <row r="175" spans="2:24" x14ac:dyDescent="0.45">
      <c r="B175" s="482"/>
      <c r="P175" s="519"/>
      <c r="Q175" s="515"/>
      <c r="R175" s="518"/>
      <c r="V175" s="519"/>
      <c r="W175" s="515"/>
      <c r="X175" s="518"/>
    </row>
    <row r="176" spans="2:24" x14ac:dyDescent="0.45">
      <c r="P176" s="519"/>
      <c r="Q176" s="515"/>
      <c r="R176" s="518"/>
      <c r="V176" s="519"/>
      <c r="W176" s="515"/>
      <c r="X176" s="518"/>
    </row>
    <row r="177" spans="16:24" x14ac:dyDescent="0.45">
      <c r="P177" s="519"/>
      <c r="Q177" s="515"/>
      <c r="R177" s="518"/>
      <c r="V177" s="519"/>
      <c r="W177" s="515"/>
      <c r="X177" s="518"/>
    </row>
    <row r="178" spans="16:24" x14ac:dyDescent="0.45">
      <c r="P178" s="519"/>
      <c r="Q178" s="515"/>
      <c r="R178" s="518"/>
      <c r="V178" s="519"/>
      <c r="W178" s="515"/>
      <c r="X178" s="518"/>
    </row>
    <row r="179" spans="16:24" x14ac:dyDescent="0.45">
      <c r="P179" s="519"/>
      <c r="Q179" s="515"/>
      <c r="R179" s="518"/>
      <c r="V179" s="519"/>
      <c r="W179" s="515"/>
      <c r="X179" s="518"/>
    </row>
    <row r="180" spans="16:24" x14ac:dyDescent="0.45">
      <c r="P180" s="519"/>
      <c r="Q180" s="515"/>
      <c r="R180" s="518"/>
      <c r="V180" s="519"/>
      <c r="W180" s="515"/>
      <c r="X180" s="518"/>
    </row>
    <row r="181" spans="16:24" x14ac:dyDescent="0.45">
      <c r="P181" s="519"/>
      <c r="Q181" s="515"/>
      <c r="R181" s="518"/>
      <c r="V181" s="519"/>
      <c r="W181" s="515"/>
      <c r="X181" s="518"/>
    </row>
    <row r="182" spans="16:24" x14ac:dyDescent="0.45">
      <c r="P182" s="519"/>
      <c r="Q182" s="515"/>
      <c r="R182" s="518"/>
      <c r="V182" s="519"/>
      <c r="W182" s="515"/>
      <c r="X182" s="518"/>
    </row>
    <row r="183" spans="16:24" x14ac:dyDescent="0.45">
      <c r="P183" s="519"/>
      <c r="Q183" s="515"/>
      <c r="R183" s="518"/>
      <c r="V183" s="519"/>
      <c r="W183" s="515"/>
      <c r="X183" s="518"/>
    </row>
    <row r="184" spans="16:24" x14ac:dyDescent="0.45">
      <c r="P184" s="519"/>
      <c r="Q184" s="515"/>
      <c r="R184" s="518"/>
      <c r="V184" s="519"/>
      <c r="W184" s="515"/>
      <c r="X184" s="518"/>
    </row>
    <row r="185" spans="16:24" x14ac:dyDescent="0.45">
      <c r="P185" s="519"/>
      <c r="Q185" s="515"/>
      <c r="R185" s="518"/>
      <c r="V185" s="519"/>
      <c r="W185" s="515"/>
      <c r="X185" s="518"/>
    </row>
    <row r="186" spans="16:24" x14ac:dyDescent="0.45">
      <c r="P186" s="519"/>
      <c r="Q186" s="515"/>
      <c r="R186" s="518"/>
      <c r="V186" s="519"/>
      <c r="W186" s="515"/>
      <c r="X186" s="518"/>
    </row>
    <row r="187" spans="16:24" x14ac:dyDescent="0.45">
      <c r="P187" s="519"/>
      <c r="Q187" s="515"/>
      <c r="R187" s="518"/>
      <c r="V187" s="519"/>
      <c r="W187" s="515"/>
      <c r="X187" s="518"/>
    </row>
    <row r="188" spans="16:24" x14ac:dyDescent="0.45">
      <c r="P188" s="519"/>
      <c r="Q188" s="515"/>
      <c r="R188" s="518"/>
      <c r="V188" s="519"/>
      <c r="W188" s="515"/>
      <c r="X188" s="518"/>
    </row>
    <row r="189" spans="16:24" x14ac:dyDescent="0.45">
      <c r="P189" s="519"/>
      <c r="Q189" s="515"/>
      <c r="R189" s="518"/>
      <c r="V189" s="519"/>
      <c r="W189" s="515"/>
      <c r="X189" s="518"/>
    </row>
    <row r="190" spans="16:24" x14ac:dyDescent="0.45">
      <c r="P190" s="519"/>
      <c r="Q190" s="515"/>
      <c r="R190" s="518"/>
      <c r="V190" s="519"/>
      <c r="W190" s="515"/>
      <c r="X190" s="518"/>
    </row>
    <row r="191" spans="16:24" x14ac:dyDescent="0.45">
      <c r="P191" s="519"/>
      <c r="Q191" s="515"/>
      <c r="R191" s="518"/>
      <c r="V191" s="519"/>
      <c r="W191" s="515"/>
      <c r="X191" s="518"/>
    </row>
    <row r="192" spans="16:24" x14ac:dyDescent="0.45">
      <c r="P192" s="519"/>
      <c r="Q192" s="515"/>
      <c r="R192" s="518"/>
      <c r="V192" s="519"/>
      <c r="W192" s="515"/>
      <c r="X192" s="518"/>
    </row>
    <row r="193" spans="16:24" x14ac:dyDescent="0.45">
      <c r="P193" s="519"/>
      <c r="Q193" s="515"/>
      <c r="R193" s="518"/>
      <c r="V193" s="519"/>
      <c r="W193" s="515"/>
      <c r="X193" s="518"/>
    </row>
    <row r="194" spans="16:24" x14ac:dyDescent="0.45">
      <c r="P194" s="519"/>
      <c r="Q194" s="515"/>
      <c r="R194" s="518"/>
      <c r="V194" s="519"/>
      <c r="W194" s="515"/>
      <c r="X194" s="518"/>
    </row>
    <row r="195" spans="16:24" x14ac:dyDescent="0.45">
      <c r="P195" s="519"/>
      <c r="Q195" s="515"/>
      <c r="R195" s="518"/>
      <c r="V195" s="519"/>
      <c r="W195" s="515"/>
      <c r="X195" s="518"/>
    </row>
    <row r="196" spans="16:24" x14ac:dyDescent="0.45">
      <c r="P196" s="519"/>
      <c r="Q196" s="515"/>
      <c r="R196" s="518"/>
      <c r="V196" s="519"/>
      <c r="W196" s="515"/>
      <c r="X196" s="518"/>
    </row>
    <row r="197" spans="16:24" x14ac:dyDescent="0.45">
      <c r="P197" s="519"/>
      <c r="Q197" s="515"/>
      <c r="R197" s="518"/>
      <c r="V197" s="519"/>
      <c r="W197" s="515"/>
      <c r="X197" s="518"/>
    </row>
    <row r="198" spans="16:24" x14ac:dyDescent="0.45">
      <c r="P198" s="519"/>
      <c r="Q198" s="515"/>
      <c r="R198" s="518"/>
      <c r="V198" s="519"/>
      <c r="W198" s="515"/>
      <c r="X198" s="518"/>
    </row>
    <row r="199" spans="16:24" x14ac:dyDescent="0.45">
      <c r="P199" s="519"/>
      <c r="Q199" s="515"/>
      <c r="R199" s="518"/>
      <c r="V199" s="519"/>
      <c r="W199" s="515"/>
      <c r="X199" s="518"/>
    </row>
    <row r="200" spans="16:24" x14ac:dyDescent="0.45">
      <c r="P200" s="519"/>
      <c r="Q200" s="515"/>
      <c r="R200" s="518"/>
      <c r="V200" s="519"/>
      <c r="W200" s="515"/>
      <c r="X200" s="518"/>
    </row>
    <row r="201" spans="16:24" x14ac:dyDescent="0.45">
      <c r="P201" s="519"/>
      <c r="Q201" s="515"/>
      <c r="R201" s="518"/>
      <c r="V201" s="519"/>
      <c r="W201" s="515"/>
      <c r="X201" s="518"/>
    </row>
    <row r="202" spans="16:24" x14ac:dyDescent="0.45">
      <c r="P202" s="519"/>
      <c r="Q202" s="515"/>
      <c r="R202" s="518"/>
      <c r="V202" s="519"/>
      <c r="W202" s="515"/>
      <c r="X202" s="518"/>
    </row>
    <row r="203" spans="16:24" x14ac:dyDescent="0.45">
      <c r="P203" s="519"/>
      <c r="Q203" s="515"/>
      <c r="R203" s="518"/>
      <c r="V203" s="519"/>
      <c r="W203" s="515"/>
      <c r="X203" s="518"/>
    </row>
    <row r="204" spans="16:24" x14ac:dyDescent="0.45">
      <c r="P204" s="519"/>
      <c r="Q204" s="515"/>
      <c r="R204" s="518"/>
      <c r="V204" s="519"/>
      <c r="W204" s="515"/>
      <c r="X204" s="518"/>
    </row>
    <row r="205" spans="16:24" x14ac:dyDescent="0.45">
      <c r="P205" s="519"/>
      <c r="Q205" s="515"/>
      <c r="R205" s="518"/>
      <c r="V205" s="519"/>
      <c r="W205" s="515"/>
      <c r="X205" s="518"/>
    </row>
    <row r="206" spans="16:24" x14ac:dyDescent="0.45">
      <c r="P206" s="519"/>
      <c r="Q206" s="515"/>
      <c r="R206" s="518"/>
      <c r="V206" s="519"/>
      <c r="W206" s="515"/>
      <c r="X206" s="518"/>
    </row>
    <row r="207" spans="16:24" x14ac:dyDescent="0.45">
      <c r="P207" s="519"/>
      <c r="Q207" s="515"/>
      <c r="R207" s="518"/>
      <c r="V207" s="519"/>
      <c r="W207" s="515"/>
      <c r="X207" s="518"/>
    </row>
    <row r="208" spans="16:24" x14ac:dyDescent="0.45">
      <c r="P208" s="519"/>
      <c r="Q208" s="515"/>
      <c r="R208" s="518"/>
      <c r="V208" s="519"/>
      <c r="W208" s="515"/>
      <c r="X208" s="518"/>
    </row>
    <row r="209" spans="16:24" x14ac:dyDescent="0.45">
      <c r="P209" s="519"/>
      <c r="Q209" s="515"/>
      <c r="R209" s="518"/>
      <c r="V209" s="519"/>
      <c r="W209" s="515"/>
      <c r="X209" s="518"/>
    </row>
    <row r="210" spans="16:24" x14ac:dyDescent="0.45">
      <c r="P210" s="519"/>
      <c r="Q210" s="515"/>
      <c r="R210" s="518"/>
      <c r="V210" s="519"/>
      <c r="W210" s="515"/>
      <c r="X210" s="518"/>
    </row>
    <row r="211" spans="16:24" x14ac:dyDescent="0.45">
      <c r="P211" s="519"/>
      <c r="Q211" s="515"/>
      <c r="R211" s="518"/>
      <c r="V211" s="519"/>
      <c r="W211" s="515"/>
      <c r="X211" s="518"/>
    </row>
    <row r="212" spans="16:24" x14ac:dyDescent="0.45">
      <c r="P212" s="519"/>
      <c r="Q212" s="515"/>
      <c r="R212" s="518"/>
      <c r="V212" s="519"/>
      <c r="W212" s="515"/>
      <c r="X212" s="518"/>
    </row>
    <row r="213" spans="16:24" x14ac:dyDescent="0.45">
      <c r="P213" s="519"/>
      <c r="Q213" s="515"/>
      <c r="R213" s="518"/>
      <c r="V213" s="519"/>
      <c r="W213" s="515"/>
      <c r="X213" s="518"/>
    </row>
    <row r="214" spans="16:24" x14ac:dyDescent="0.45">
      <c r="P214" s="519"/>
      <c r="Q214" s="515"/>
      <c r="R214" s="518"/>
      <c r="V214" s="519"/>
      <c r="W214" s="515"/>
      <c r="X214" s="518"/>
    </row>
    <row r="215" spans="16:24" x14ac:dyDescent="0.45">
      <c r="P215" s="519"/>
      <c r="Q215" s="515"/>
      <c r="R215" s="518"/>
      <c r="V215" s="519"/>
      <c r="W215" s="515"/>
      <c r="X215" s="518"/>
    </row>
    <row r="216" spans="16:24" x14ac:dyDescent="0.45">
      <c r="P216" s="519"/>
      <c r="Q216" s="515"/>
      <c r="R216" s="518"/>
      <c r="V216" s="519"/>
      <c r="W216" s="515"/>
      <c r="X216" s="518"/>
    </row>
    <row r="217" spans="16:24" x14ac:dyDescent="0.45">
      <c r="P217" s="519"/>
      <c r="Q217" s="515"/>
      <c r="R217" s="518"/>
      <c r="V217" s="519"/>
      <c r="W217" s="515"/>
      <c r="X217" s="518"/>
    </row>
    <row r="218" spans="16:24" x14ac:dyDescent="0.45">
      <c r="P218" s="519"/>
      <c r="Q218" s="515"/>
      <c r="R218" s="518"/>
      <c r="V218" s="519"/>
      <c r="W218" s="515"/>
      <c r="X218" s="518"/>
    </row>
    <row r="219" spans="16:24" x14ac:dyDescent="0.45">
      <c r="P219" s="519"/>
      <c r="Q219" s="515"/>
      <c r="R219" s="518"/>
      <c r="V219" s="519"/>
      <c r="W219" s="515"/>
      <c r="X219" s="518"/>
    </row>
    <row r="220" spans="16:24" x14ac:dyDescent="0.45">
      <c r="P220" s="519"/>
      <c r="Q220" s="515"/>
      <c r="R220" s="518"/>
      <c r="V220" s="519"/>
      <c r="W220" s="515"/>
      <c r="X220" s="518"/>
    </row>
    <row r="221" spans="16:24" x14ac:dyDescent="0.45">
      <c r="P221" s="519"/>
      <c r="Q221" s="515"/>
      <c r="R221" s="518"/>
      <c r="V221" s="519"/>
      <c r="W221" s="515"/>
      <c r="X221" s="518"/>
    </row>
    <row r="222" spans="16:24" x14ac:dyDescent="0.45">
      <c r="P222" s="519"/>
      <c r="Q222" s="515"/>
      <c r="R222" s="518"/>
      <c r="V222" s="519"/>
      <c r="W222" s="515"/>
      <c r="X222" s="518"/>
    </row>
    <row r="223" spans="16:24" x14ac:dyDescent="0.45">
      <c r="P223" s="519"/>
      <c r="Q223" s="515"/>
      <c r="R223" s="518"/>
      <c r="V223" s="519"/>
      <c r="W223" s="515"/>
      <c r="X223" s="518"/>
    </row>
    <row r="224" spans="16:24" x14ac:dyDescent="0.45">
      <c r="P224" s="519"/>
      <c r="Q224" s="515"/>
      <c r="R224" s="518"/>
      <c r="V224" s="519"/>
      <c r="W224" s="515"/>
      <c r="X224" s="518"/>
    </row>
    <row r="225" spans="16:24" x14ac:dyDescent="0.45">
      <c r="P225" s="519"/>
      <c r="Q225" s="515"/>
      <c r="R225" s="518"/>
      <c r="V225" s="519"/>
      <c r="W225" s="515"/>
      <c r="X225" s="518"/>
    </row>
    <row r="226" spans="16:24" x14ac:dyDescent="0.45">
      <c r="P226" s="519"/>
      <c r="Q226" s="515"/>
      <c r="R226" s="518"/>
      <c r="V226" s="519"/>
      <c r="W226" s="515"/>
      <c r="X226" s="518"/>
    </row>
    <row r="227" spans="16:24" x14ac:dyDescent="0.45">
      <c r="P227" s="519"/>
      <c r="Q227" s="515"/>
      <c r="R227" s="518"/>
      <c r="V227" s="519"/>
      <c r="W227" s="515"/>
      <c r="X227" s="518"/>
    </row>
    <row r="228" spans="16:24" x14ac:dyDescent="0.45">
      <c r="P228" s="519"/>
      <c r="Q228" s="515"/>
      <c r="R228" s="518"/>
      <c r="V228" s="519"/>
      <c r="W228" s="515"/>
      <c r="X228" s="518"/>
    </row>
    <row r="229" spans="16:24" x14ac:dyDescent="0.45">
      <c r="P229" s="519"/>
      <c r="Q229" s="515"/>
      <c r="R229" s="518"/>
      <c r="V229" s="519"/>
      <c r="W229" s="515"/>
      <c r="X229" s="518"/>
    </row>
    <row r="230" spans="16:24" x14ac:dyDescent="0.45">
      <c r="P230" s="519"/>
      <c r="Q230" s="515"/>
      <c r="R230" s="518"/>
      <c r="V230" s="519"/>
      <c r="W230" s="515"/>
      <c r="X230" s="518"/>
    </row>
    <row r="231" spans="16:24" x14ac:dyDescent="0.45">
      <c r="P231" s="519"/>
      <c r="Q231" s="515"/>
      <c r="R231" s="518"/>
      <c r="V231" s="519"/>
      <c r="W231" s="515"/>
      <c r="X231" s="518"/>
    </row>
    <row r="232" spans="16:24" x14ac:dyDescent="0.45">
      <c r="P232" s="519"/>
      <c r="Q232" s="515"/>
      <c r="R232" s="518"/>
      <c r="V232" s="519"/>
      <c r="W232" s="515"/>
      <c r="X232" s="518"/>
    </row>
    <row r="233" spans="16:24" x14ac:dyDescent="0.45">
      <c r="P233" s="519"/>
      <c r="Q233" s="515"/>
      <c r="R233" s="518"/>
      <c r="V233" s="519"/>
      <c r="W233" s="515"/>
      <c r="X233" s="518"/>
    </row>
    <row r="234" spans="16:24" x14ac:dyDescent="0.45">
      <c r="P234" s="519"/>
      <c r="Q234" s="515"/>
      <c r="R234" s="518"/>
      <c r="V234" s="519"/>
      <c r="W234" s="515"/>
      <c r="X234" s="518"/>
    </row>
    <row r="235" spans="16:24" x14ac:dyDescent="0.45">
      <c r="P235" s="519"/>
      <c r="Q235" s="515"/>
      <c r="R235" s="518"/>
      <c r="V235" s="519"/>
      <c r="W235" s="515"/>
      <c r="X235" s="518"/>
    </row>
    <row r="236" spans="16:24" x14ac:dyDescent="0.45">
      <c r="P236" s="519"/>
      <c r="Q236" s="515"/>
      <c r="R236" s="518"/>
      <c r="V236" s="519"/>
      <c r="W236" s="515"/>
      <c r="X236" s="518"/>
    </row>
    <row r="237" spans="16:24" x14ac:dyDescent="0.45">
      <c r="P237" s="519"/>
      <c r="Q237" s="515"/>
      <c r="R237" s="518"/>
      <c r="V237" s="519"/>
      <c r="W237" s="515"/>
      <c r="X237" s="518"/>
    </row>
    <row r="238" spans="16:24" x14ac:dyDescent="0.45">
      <c r="P238" s="519"/>
      <c r="Q238" s="515"/>
      <c r="R238" s="518"/>
      <c r="V238" s="519"/>
      <c r="W238" s="515"/>
      <c r="X238" s="518"/>
    </row>
    <row r="239" spans="16:24" x14ac:dyDescent="0.45">
      <c r="P239" s="519"/>
      <c r="Q239" s="515"/>
      <c r="R239" s="518"/>
      <c r="V239" s="519"/>
      <c r="W239" s="515"/>
      <c r="X239" s="518"/>
    </row>
    <row r="240" spans="16:24" x14ac:dyDescent="0.45">
      <c r="P240" s="519"/>
      <c r="Q240" s="515"/>
      <c r="R240" s="518"/>
      <c r="V240" s="519"/>
      <c r="W240" s="515"/>
      <c r="X240" s="518"/>
    </row>
    <row r="241" spans="16:24" x14ac:dyDescent="0.45">
      <c r="P241" s="519"/>
      <c r="Q241" s="515"/>
      <c r="R241" s="518"/>
      <c r="V241" s="519"/>
      <c r="W241" s="515"/>
      <c r="X241" s="518"/>
    </row>
    <row r="242" spans="16:24" x14ac:dyDescent="0.45">
      <c r="P242" s="519"/>
      <c r="Q242" s="515"/>
      <c r="R242" s="518"/>
      <c r="V242" s="519"/>
      <c r="W242" s="515"/>
      <c r="X242" s="518"/>
    </row>
    <row r="243" spans="16:24" x14ac:dyDescent="0.45">
      <c r="P243" s="519"/>
      <c r="Q243" s="515"/>
      <c r="R243" s="518"/>
      <c r="V243" s="519"/>
      <c r="W243" s="515"/>
      <c r="X243" s="518"/>
    </row>
    <row r="244" spans="16:24" x14ac:dyDescent="0.45">
      <c r="P244" s="519"/>
      <c r="Q244" s="515"/>
      <c r="R244" s="518"/>
      <c r="V244" s="519"/>
      <c r="W244" s="515"/>
      <c r="X244" s="518"/>
    </row>
    <row r="245" spans="16:24" x14ac:dyDescent="0.45">
      <c r="P245" s="519"/>
      <c r="Q245" s="515"/>
      <c r="R245" s="518"/>
      <c r="V245" s="519"/>
      <c r="W245" s="515"/>
      <c r="X245" s="518"/>
    </row>
    <row r="246" spans="16:24" x14ac:dyDescent="0.45">
      <c r="P246" s="519"/>
      <c r="Q246" s="515"/>
      <c r="R246" s="518"/>
      <c r="V246" s="519"/>
      <c r="W246" s="515"/>
      <c r="X246" s="518"/>
    </row>
    <row r="247" spans="16:24" x14ac:dyDescent="0.45">
      <c r="P247" s="519"/>
      <c r="Q247" s="515"/>
      <c r="R247" s="518"/>
      <c r="V247" s="519"/>
      <c r="W247" s="515"/>
      <c r="X247" s="518"/>
    </row>
    <row r="248" spans="16:24" x14ac:dyDescent="0.45">
      <c r="P248" s="519"/>
      <c r="Q248" s="515"/>
      <c r="R248" s="518"/>
      <c r="V248" s="519"/>
      <c r="W248" s="515"/>
      <c r="X248" s="518"/>
    </row>
    <row r="249" spans="16:24" x14ac:dyDescent="0.45">
      <c r="P249" s="519"/>
      <c r="Q249" s="515"/>
      <c r="R249" s="518"/>
      <c r="V249" s="519"/>
      <c r="W249" s="515"/>
      <c r="X249" s="518"/>
    </row>
    <row r="250" spans="16:24" x14ac:dyDescent="0.45">
      <c r="P250" s="519"/>
      <c r="Q250" s="515"/>
      <c r="R250" s="518"/>
      <c r="V250" s="519"/>
      <c r="W250" s="515"/>
      <c r="X250" s="518"/>
    </row>
    <row r="251" spans="16:24" x14ac:dyDescent="0.45">
      <c r="P251" s="519"/>
      <c r="Q251" s="515"/>
      <c r="R251" s="518"/>
      <c r="V251" s="519"/>
      <c r="W251" s="515"/>
      <c r="X251" s="518"/>
    </row>
    <row r="252" spans="16:24" x14ac:dyDescent="0.45">
      <c r="P252" s="519"/>
      <c r="Q252" s="515"/>
      <c r="R252" s="518"/>
      <c r="V252" s="519"/>
      <c r="W252" s="515"/>
      <c r="X252" s="518"/>
    </row>
    <row r="253" spans="16:24" x14ac:dyDescent="0.45">
      <c r="P253" s="519"/>
      <c r="Q253" s="515"/>
      <c r="R253" s="518"/>
      <c r="V253" s="519"/>
      <c r="W253" s="515"/>
      <c r="X253" s="518"/>
    </row>
    <row r="254" spans="16:24" x14ac:dyDescent="0.45">
      <c r="P254" s="519"/>
      <c r="Q254" s="515"/>
      <c r="R254" s="518"/>
      <c r="V254" s="519"/>
      <c r="W254" s="515"/>
      <c r="X254" s="518"/>
    </row>
    <row r="255" spans="16:24" x14ac:dyDescent="0.45">
      <c r="P255" s="519"/>
      <c r="Q255" s="515"/>
      <c r="R255" s="518"/>
      <c r="V255" s="519"/>
      <c r="W255" s="515"/>
      <c r="X255" s="518"/>
    </row>
    <row r="256" spans="16:24" x14ac:dyDescent="0.45">
      <c r="P256" s="519"/>
      <c r="Q256" s="515"/>
      <c r="R256" s="518"/>
      <c r="V256" s="519"/>
      <c r="W256" s="515"/>
      <c r="X256" s="518"/>
    </row>
    <row r="257" spans="16:24" x14ac:dyDescent="0.45">
      <c r="P257" s="519"/>
      <c r="Q257" s="515"/>
      <c r="R257" s="518"/>
      <c r="V257" s="519"/>
      <c r="W257" s="515"/>
      <c r="X257" s="518"/>
    </row>
    <row r="258" spans="16:24" x14ac:dyDescent="0.45">
      <c r="P258" s="519"/>
      <c r="Q258" s="515"/>
      <c r="R258" s="518"/>
      <c r="V258" s="519"/>
      <c r="W258" s="515"/>
      <c r="X258" s="518"/>
    </row>
    <row r="259" spans="16:24" x14ac:dyDescent="0.45">
      <c r="P259" s="519"/>
      <c r="Q259" s="515"/>
      <c r="R259" s="518"/>
      <c r="V259" s="519"/>
      <c r="W259" s="515"/>
      <c r="X259" s="518"/>
    </row>
    <row r="260" spans="16:24" x14ac:dyDescent="0.45">
      <c r="P260" s="519"/>
      <c r="Q260" s="515"/>
      <c r="R260" s="518"/>
      <c r="V260" s="519"/>
      <c r="W260" s="515"/>
      <c r="X260" s="518"/>
    </row>
    <row r="261" spans="16:24" x14ac:dyDescent="0.45">
      <c r="P261" s="519"/>
      <c r="Q261" s="515"/>
      <c r="R261" s="518"/>
      <c r="V261" s="519"/>
      <c r="W261" s="515"/>
      <c r="X261" s="518"/>
    </row>
    <row r="262" spans="16:24" x14ac:dyDescent="0.45">
      <c r="P262" s="519"/>
      <c r="Q262" s="515"/>
      <c r="R262" s="518"/>
      <c r="V262" s="519"/>
      <c r="W262" s="515"/>
      <c r="X262" s="518"/>
    </row>
    <row r="263" spans="16:24" x14ac:dyDescent="0.45">
      <c r="P263" s="519"/>
      <c r="Q263" s="515"/>
      <c r="R263" s="518"/>
      <c r="V263" s="519"/>
      <c r="W263" s="515"/>
      <c r="X263" s="518"/>
    </row>
    <row r="264" spans="16:24" x14ac:dyDescent="0.45">
      <c r="P264" s="519"/>
      <c r="Q264" s="515"/>
      <c r="R264" s="518"/>
      <c r="V264" s="519"/>
      <c r="W264" s="515"/>
      <c r="X264" s="518"/>
    </row>
    <row r="265" spans="16:24" x14ac:dyDescent="0.45">
      <c r="P265" s="519"/>
      <c r="Q265" s="515"/>
      <c r="R265" s="518"/>
      <c r="V265" s="519"/>
      <c r="W265" s="515"/>
      <c r="X265" s="518"/>
    </row>
    <row r="266" spans="16:24" x14ac:dyDescent="0.45">
      <c r="P266" s="519"/>
      <c r="Q266" s="515"/>
      <c r="R266" s="518"/>
      <c r="V266" s="519"/>
      <c r="W266" s="515"/>
      <c r="X266" s="518"/>
    </row>
    <row r="267" spans="16:24" x14ac:dyDescent="0.45">
      <c r="P267" s="519"/>
      <c r="Q267" s="515"/>
      <c r="R267" s="518"/>
      <c r="V267" s="519"/>
      <c r="W267" s="515"/>
      <c r="X267" s="518"/>
    </row>
    <row r="268" spans="16:24" x14ac:dyDescent="0.45">
      <c r="P268" s="519"/>
      <c r="Q268" s="515"/>
      <c r="R268" s="518"/>
      <c r="V268" s="519"/>
      <c r="W268" s="515"/>
      <c r="X268" s="518"/>
    </row>
    <row r="269" spans="16:24" x14ac:dyDescent="0.45">
      <c r="P269" s="519"/>
      <c r="Q269" s="515"/>
      <c r="R269" s="518"/>
      <c r="V269" s="519"/>
      <c r="W269" s="515"/>
      <c r="X269" s="518"/>
    </row>
    <row r="270" spans="16:24" x14ac:dyDescent="0.45">
      <c r="P270" s="519"/>
      <c r="Q270" s="515"/>
      <c r="R270" s="518"/>
      <c r="V270" s="519"/>
      <c r="W270" s="515"/>
      <c r="X270" s="518"/>
    </row>
    <row r="271" spans="16:24" x14ac:dyDescent="0.45">
      <c r="P271" s="519"/>
      <c r="Q271" s="515"/>
      <c r="R271" s="518"/>
      <c r="V271" s="519"/>
      <c r="W271" s="515"/>
      <c r="X271" s="518"/>
    </row>
    <row r="272" spans="16:24" x14ac:dyDescent="0.45">
      <c r="P272" s="519"/>
      <c r="Q272" s="515"/>
      <c r="R272" s="518"/>
      <c r="V272" s="519"/>
      <c r="W272" s="515"/>
      <c r="X272" s="518"/>
    </row>
    <row r="273" spans="16:24" x14ac:dyDescent="0.45">
      <c r="P273" s="519"/>
      <c r="Q273" s="515"/>
      <c r="R273" s="518"/>
      <c r="V273" s="519"/>
      <c r="W273" s="515"/>
      <c r="X273" s="518"/>
    </row>
    <row r="274" spans="16:24" x14ac:dyDescent="0.45">
      <c r="P274" s="519"/>
      <c r="Q274" s="515"/>
      <c r="R274" s="518"/>
      <c r="V274" s="519"/>
      <c r="W274" s="515"/>
      <c r="X274" s="518"/>
    </row>
    <row r="275" spans="16:24" x14ac:dyDescent="0.45">
      <c r="P275" s="519"/>
      <c r="Q275" s="515"/>
      <c r="R275" s="518"/>
      <c r="V275" s="519"/>
      <c r="W275" s="515"/>
      <c r="X275" s="518"/>
    </row>
    <row r="276" spans="16:24" x14ac:dyDescent="0.45">
      <c r="P276" s="519"/>
      <c r="Q276" s="515"/>
      <c r="R276" s="518"/>
      <c r="V276" s="519"/>
      <c r="W276" s="515"/>
      <c r="X276" s="518"/>
    </row>
    <row r="277" spans="16:24" x14ac:dyDescent="0.45">
      <c r="P277" s="519"/>
      <c r="Q277" s="515"/>
      <c r="R277" s="518"/>
      <c r="V277" s="519"/>
      <c r="W277" s="515"/>
      <c r="X277" s="518"/>
    </row>
    <row r="278" spans="16:24" x14ac:dyDescent="0.45">
      <c r="P278" s="519"/>
      <c r="Q278" s="515"/>
      <c r="R278" s="518"/>
      <c r="V278" s="519"/>
      <c r="W278" s="515"/>
      <c r="X278" s="518"/>
    </row>
    <row r="279" spans="16:24" x14ac:dyDescent="0.45">
      <c r="P279" s="519"/>
      <c r="Q279" s="515"/>
      <c r="R279" s="518"/>
      <c r="V279" s="519"/>
      <c r="W279" s="515"/>
      <c r="X279" s="518"/>
    </row>
    <row r="280" spans="16:24" x14ac:dyDescent="0.45">
      <c r="P280" s="519"/>
      <c r="Q280" s="515"/>
      <c r="R280" s="518"/>
      <c r="V280" s="519"/>
      <c r="W280" s="515"/>
      <c r="X280" s="518"/>
    </row>
    <row r="281" spans="16:24" x14ac:dyDescent="0.45">
      <c r="P281" s="519"/>
      <c r="Q281" s="515"/>
      <c r="R281" s="518"/>
      <c r="V281" s="519"/>
      <c r="W281" s="515"/>
      <c r="X281" s="518"/>
    </row>
    <row r="282" spans="16:24" x14ac:dyDescent="0.45">
      <c r="P282" s="519"/>
      <c r="Q282" s="515"/>
      <c r="R282" s="518"/>
      <c r="V282" s="519"/>
      <c r="W282" s="515"/>
      <c r="X282" s="518"/>
    </row>
    <row r="283" spans="16:24" x14ac:dyDescent="0.45">
      <c r="P283" s="519"/>
      <c r="Q283" s="515"/>
      <c r="R283" s="518"/>
      <c r="V283" s="519"/>
      <c r="W283" s="515"/>
      <c r="X283" s="518"/>
    </row>
    <row r="284" spans="16:24" x14ac:dyDescent="0.45">
      <c r="P284" s="519"/>
      <c r="Q284" s="515"/>
      <c r="R284" s="518"/>
      <c r="V284" s="519"/>
      <c r="W284" s="515"/>
      <c r="X284" s="518"/>
    </row>
    <row r="285" spans="16:24" x14ac:dyDescent="0.45">
      <c r="P285" s="519"/>
      <c r="Q285" s="515"/>
      <c r="R285" s="518"/>
      <c r="V285" s="519"/>
      <c r="W285" s="515"/>
      <c r="X285" s="518"/>
    </row>
    <row r="286" spans="16:24" x14ac:dyDescent="0.45">
      <c r="P286" s="519"/>
      <c r="Q286" s="515"/>
      <c r="R286" s="518"/>
      <c r="V286" s="519"/>
      <c r="W286" s="515"/>
      <c r="X286" s="518"/>
    </row>
    <row r="287" spans="16:24" x14ac:dyDescent="0.45">
      <c r="P287" s="519"/>
      <c r="Q287" s="515"/>
      <c r="R287" s="518"/>
      <c r="V287" s="519"/>
      <c r="W287" s="515"/>
      <c r="X287" s="518"/>
    </row>
    <row r="288" spans="16:24" x14ac:dyDescent="0.45">
      <c r="P288" s="519"/>
      <c r="Q288" s="515"/>
      <c r="R288" s="518"/>
      <c r="V288" s="519"/>
      <c r="W288" s="515"/>
      <c r="X288" s="518"/>
    </row>
    <row r="289" spans="16:24" x14ac:dyDescent="0.45">
      <c r="P289" s="519"/>
      <c r="Q289" s="515"/>
      <c r="R289" s="518"/>
      <c r="V289" s="519"/>
      <c r="W289" s="515"/>
      <c r="X289" s="518"/>
    </row>
    <row r="290" spans="16:24" x14ac:dyDescent="0.45">
      <c r="P290" s="519"/>
      <c r="Q290" s="515"/>
      <c r="R290" s="518"/>
      <c r="V290" s="519"/>
      <c r="W290" s="515"/>
      <c r="X290" s="518"/>
    </row>
    <row r="291" spans="16:24" x14ac:dyDescent="0.45">
      <c r="P291" s="519"/>
      <c r="Q291" s="515"/>
      <c r="R291" s="518"/>
      <c r="V291" s="519"/>
      <c r="W291" s="515"/>
      <c r="X291" s="518"/>
    </row>
    <row r="292" spans="16:24" x14ac:dyDescent="0.45">
      <c r="P292" s="519"/>
      <c r="Q292" s="515"/>
      <c r="R292" s="518"/>
      <c r="V292" s="519"/>
      <c r="W292" s="515"/>
      <c r="X292" s="518"/>
    </row>
    <row r="293" spans="16:24" x14ac:dyDescent="0.45">
      <c r="P293" s="519"/>
      <c r="Q293" s="515"/>
      <c r="R293" s="518"/>
      <c r="V293" s="519"/>
      <c r="W293" s="515"/>
      <c r="X293" s="518"/>
    </row>
    <row r="294" spans="16:24" x14ac:dyDescent="0.45">
      <c r="P294" s="519"/>
      <c r="Q294" s="515"/>
      <c r="R294" s="518"/>
      <c r="V294" s="519"/>
      <c r="W294" s="515"/>
      <c r="X294" s="518"/>
    </row>
    <row r="295" spans="16:24" x14ac:dyDescent="0.45">
      <c r="P295" s="519"/>
      <c r="Q295" s="515"/>
      <c r="R295" s="518"/>
      <c r="V295" s="519"/>
      <c r="W295" s="515"/>
      <c r="X295" s="518"/>
    </row>
    <row r="296" spans="16:24" x14ac:dyDescent="0.45">
      <c r="P296" s="519"/>
      <c r="Q296" s="515"/>
      <c r="R296" s="518"/>
      <c r="V296" s="519"/>
      <c r="W296" s="515"/>
      <c r="X296" s="518"/>
    </row>
    <row r="297" spans="16:24" x14ac:dyDescent="0.45">
      <c r="P297" s="519"/>
      <c r="Q297" s="515"/>
      <c r="R297" s="518"/>
      <c r="V297" s="519"/>
      <c r="W297" s="515"/>
      <c r="X297" s="518"/>
    </row>
    <row r="298" spans="16:24" x14ac:dyDescent="0.45">
      <c r="P298" s="519"/>
      <c r="Q298" s="515"/>
      <c r="R298" s="518"/>
      <c r="V298" s="519"/>
      <c r="W298" s="515"/>
      <c r="X298" s="518"/>
    </row>
    <row r="299" spans="16:24" x14ac:dyDescent="0.45">
      <c r="P299" s="519"/>
      <c r="Q299" s="515"/>
      <c r="R299" s="518"/>
      <c r="V299" s="519"/>
      <c r="W299" s="515"/>
      <c r="X299" s="518"/>
    </row>
    <row r="300" spans="16:24" x14ac:dyDescent="0.45">
      <c r="P300" s="519"/>
      <c r="Q300" s="515"/>
      <c r="R300" s="518"/>
      <c r="V300" s="519"/>
      <c r="W300" s="515"/>
      <c r="X300" s="518"/>
    </row>
    <row r="301" spans="16:24" x14ac:dyDescent="0.45">
      <c r="P301" s="519"/>
      <c r="Q301" s="515"/>
      <c r="R301" s="518"/>
      <c r="V301" s="519"/>
      <c r="W301" s="515"/>
      <c r="X301" s="518"/>
    </row>
    <row r="302" spans="16:24" x14ac:dyDescent="0.45">
      <c r="P302" s="519"/>
      <c r="Q302" s="515"/>
      <c r="R302" s="518"/>
      <c r="V302" s="519"/>
      <c r="W302" s="515"/>
      <c r="X302" s="518"/>
    </row>
    <row r="303" spans="16:24" x14ac:dyDescent="0.45">
      <c r="P303" s="519"/>
      <c r="Q303" s="515"/>
      <c r="R303" s="518"/>
      <c r="V303" s="519"/>
      <c r="W303" s="515"/>
      <c r="X303" s="518"/>
    </row>
    <row r="304" spans="16:24" x14ac:dyDescent="0.45">
      <c r="P304" s="519"/>
      <c r="Q304" s="515"/>
      <c r="R304" s="518"/>
      <c r="V304" s="519"/>
      <c r="W304" s="515"/>
      <c r="X304" s="518"/>
    </row>
    <row r="305" spans="16:24" x14ac:dyDescent="0.45">
      <c r="P305" s="519"/>
      <c r="Q305" s="515"/>
      <c r="R305" s="518"/>
      <c r="V305" s="519"/>
      <c r="W305" s="515"/>
      <c r="X305" s="518"/>
    </row>
    <row r="306" spans="16:24" x14ac:dyDescent="0.45">
      <c r="P306" s="519"/>
      <c r="Q306" s="515"/>
      <c r="R306" s="518"/>
      <c r="V306" s="519"/>
      <c r="W306" s="515"/>
      <c r="X306" s="518"/>
    </row>
    <row r="307" spans="16:24" x14ac:dyDescent="0.45">
      <c r="P307" s="519"/>
      <c r="Q307" s="515"/>
      <c r="R307" s="518"/>
      <c r="V307" s="519"/>
      <c r="W307" s="515"/>
      <c r="X307" s="518"/>
    </row>
    <row r="308" spans="16:24" x14ac:dyDescent="0.45">
      <c r="P308" s="519"/>
      <c r="Q308" s="515"/>
      <c r="R308" s="518"/>
      <c r="V308" s="519"/>
      <c r="W308" s="515"/>
      <c r="X308" s="518"/>
    </row>
    <row r="309" spans="16:24" x14ac:dyDescent="0.45">
      <c r="P309" s="519"/>
      <c r="Q309" s="515"/>
      <c r="R309" s="518"/>
      <c r="V309" s="519"/>
      <c r="W309" s="515"/>
      <c r="X309" s="518"/>
    </row>
    <row r="310" spans="16:24" x14ac:dyDescent="0.45">
      <c r="P310" s="519"/>
      <c r="Q310" s="515"/>
      <c r="R310" s="518"/>
      <c r="V310" s="519"/>
      <c r="W310" s="515"/>
      <c r="X310" s="518"/>
    </row>
    <row r="311" spans="16:24" x14ac:dyDescent="0.45">
      <c r="P311" s="519"/>
      <c r="Q311" s="515"/>
      <c r="R311" s="518"/>
      <c r="V311" s="519"/>
      <c r="W311" s="515"/>
      <c r="X311" s="518"/>
    </row>
    <row r="312" spans="16:24" x14ac:dyDescent="0.45">
      <c r="P312" s="519"/>
      <c r="Q312" s="515"/>
      <c r="R312" s="518"/>
      <c r="V312" s="519"/>
      <c r="W312" s="515"/>
      <c r="X312" s="518"/>
    </row>
    <row r="313" spans="16:24" x14ac:dyDescent="0.45">
      <c r="P313" s="519"/>
      <c r="Q313" s="515"/>
      <c r="R313" s="518"/>
      <c r="V313" s="519"/>
      <c r="W313" s="515"/>
      <c r="X313" s="518"/>
    </row>
    <row r="314" spans="16:24" x14ac:dyDescent="0.45">
      <c r="P314" s="519"/>
      <c r="Q314" s="515"/>
      <c r="R314" s="518"/>
      <c r="V314" s="519"/>
      <c r="W314" s="515"/>
      <c r="X314" s="518"/>
    </row>
    <row r="315" spans="16:24" x14ac:dyDescent="0.45">
      <c r="P315" s="519"/>
      <c r="Q315" s="515"/>
      <c r="R315" s="518"/>
      <c r="V315" s="519"/>
      <c r="W315" s="515"/>
      <c r="X315" s="518"/>
    </row>
    <row r="316" spans="16:24" x14ac:dyDescent="0.45">
      <c r="P316" s="519"/>
      <c r="Q316" s="515"/>
      <c r="R316" s="518"/>
      <c r="V316" s="519"/>
      <c r="W316" s="515"/>
      <c r="X316" s="518"/>
    </row>
    <row r="317" spans="16:24" x14ac:dyDescent="0.45">
      <c r="P317" s="519"/>
      <c r="Q317" s="515"/>
      <c r="R317" s="518"/>
      <c r="V317" s="519"/>
      <c r="W317" s="515"/>
      <c r="X317" s="518"/>
    </row>
    <row r="318" spans="16:24" x14ac:dyDescent="0.45">
      <c r="P318" s="519"/>
      <c r="Q318" s="515"/>
      <c r="R318" s="518"/>
      <c r="V318" s="519"/>
      <c r="W318" s="515"/>
      <c r="X318" s="518"/>
    </row>
    <row r="319" spans="16:24" x14ac:dyDescent="0.45">
      <c r="P319" s="519"/>
      <c r="Q319" s="515"/>
      <c r="R319" s="518"/>
      <c r="V319" s="519"/>
      <c r="W319" s="515"/>
      <c r="X319" s="518"/>
    </row>
    <row r="320" spans="16:24" x14ac:dyDescent="0.45">
      <c r="P320" s="519"/>
      <c r="Q320" s="515"/>
      <c r="R320" s="518"/>
      <c r="V320" s="519"/>
      <c r="W320" s="515"/>
      <c r="X320" s="518"/>
    </row>
    <row r="321" spans="16:24" x14ac:dyDescent="0.45">
      <c r="P321" s="519"/>
      <c r="Q321" s="515"/>
      <c r="R321" s="518"/>
      <c r="V321" s="519"/>
      <c r="W321" s="515"/>
      <c r="X321" s="518"/>
    </row>
    <row r="322" spans="16:24" x14ac:dyDescent="0.45">
      <c r="P322" s="519"/>
      <c r="Q322" s="515"/>
      <c r="R322" s="518"/>
      <c r="V322" s="519"/>
      <c r="W322" s="515"/>
      <c r="X322" s="518"/>
    </row>
    <row r="323" spans="16:24" x14ac:dyDescent="0.45">
      <c r="P323" s="519"/>
      <c r="Q323" s="515"/>
      <c r="R323" s="518"/>
      <c r="V323" s="519"/>
      <c r="W323" s="515"/>
      <c r="X323" s="518"/>
    </row>
    <row r="324" spans="16:24" x14ac:dyDescent="0.45">
      <c r="P324" s="519"/>
      <c r="Q324" s="515"/>
      <c r="R324" s="518"/>
      <c r="V324" s="519"/>
      <c r="W324" s="515"/>
      <c r="X324" s="518"/>
    </row>
    <row r="325" spans="16:24" x14ac:dyDescent="0.45">
      <c r="P325" s="519"/>
      <c r="Q325" s="515"/>
      <c r="R325" s="518"/>
      <c r="V325" s="519"/>
      <c r="W325" s="515"/>
      <c r="X325" s="518"/>
    </row>
    <row r="326" spans="16:24" x14ac:dyDescent="0.45">
      <c r="P326" s="519"/>
      <c r="Q326" s="515"/>
      <c r="R326" s="518"/>
      <c r="V326" s="519"/>
      <c r="W326" s="515"/>
      <c r="X326" s="518"/>
    </row>
    <row r="327" spans="16:24" x14ac:dyDescent="0.45">
      <c r="P327" s="519"/>
      <c r="Q327" s="515"/>
      <c r="R327" s="518"/>
      <c r="V327" s="519"/>
      <c r="W327" s="515"/>
      <c r="X327" s="518"/>
    </row>
    <row r="328" spans="16:24" x14ac:dyDescent="0.45">
      <c r="P328" s="519"/>
      <c r="Q328" s="515"/>
      <c r="R328" s="518"/>
      <c r="V328" s="519"/>
      <c r="W328" s="515"/>
      <c r="X328" s="518"/>
    </row>
    <row r="329" spans="16:24" x14ac:dyDescent="0.45">
      <c r="P329" s="519"/>
      <c r="Q329" s="515"/>
      <c r="R329" s="518"/>
      <c r="V329" s="519"/>
      <c r="W329" s="515"/>
      <c r="X329" s="518"/>
    </row>
    <row r="330" spans="16:24" x14ac:dyDescent="0.45">
      <c r="P330" s="519"/>
      <c r="Q330" s="515"/>
      <c r="R330" s="518"/>
      <c r="V330" s="519"/>
      <c r="W330" s="515"/>
      <c r="X330" s="518"/>
    </row>
    <row r="331" spans="16:24" x14ac:dyDescent="0.45">
      <c r="P331" s="519"/>
      <c r="Q331" s="515"/>
      <c r="R331" s="518"/>
      <c r="V331" s="519"/>
      <c r="W331" s="515"/>
      <c r="X331" s="518"/>
    </row>
    <row r="332" spans="16:24" x14ac:dyDescent="0.45">
      <c r="P332" s="519"/>
      <c r="Q332" s="515"/>
      <c r="R332" s="518"/>
      <c r="V332" s="519"/>
      <c r="W332" s="515"/>
      <c r="X332" s="518"/>
    </row>
    <row r="333" spans="16:24" x14ac:dyDescent="0.45">
      <c r="P333" s="519"/>
      <c r="Q333" s="515"/>
      <c r="R333" s="518"/>
      <c r="V333" s="519"/>
      <c r="W333" s="515"/>
      <c r="X333" s="518"/>
    </row>
    <row r="334" spans="16:24" x14ac:dyDescent="0.45">
      <c r="P334" s="519"/>
      <c r="Q334" s="515"/>
      <c r="R334" s="518"/>
      <c r="V334" s="519"/>
      <c r="W334" s="515"/>
      <c r="X334" s="518"/>
    </row>
    <row r="335" spans="16:24" x14ac:dyDescent="0.45">
      <c r="P335" s="519"/>
      <c r="Q335" s="515"/>
      <c r="R335" s="518"/>
      <c r="V335" s="519"/>
      <c r="W335" s="515"/>
      <c r="X335" s="518"/>
    </row>
    <row r="336" spans="16:24" x14ac:dyDescent="0.45">
      <c r="P336" s="519"/>
      <c r="Q336" s="515"/>
      <c r="R336" s="518"/>
      <c r="V336" s="519"/>
      <c r="W336" s="515"/>
      <c r="X336" s="518"/>
    </row>
    <row r="337" spans="16:24" x14ac:dyDescent="0.45">
      <c r="P337" s="519"/>
      <c r="Q337" s="515"/>
      <c r="R337" s="518"/>
      <c r="V337" s="519"/>
      <c r="W337" s="515"/>
      <c r="X337" s="518"/>
    </row>
    <row r="338" spans="16:24" x14ac:dyDescent="0.45">
      <c r="P338" s="519"/>
      <c r="Q338" s="515"/>
      <c r="R338" s="518"/>
      <c r="V338" s="519"/>
      <c r="W338" s="515"/>
      <c r="X338" s="518"/>
    </row>
    <row r="339" spans="16:24" x14ac:dyDescent="0.45">
      <c r="P339" s="519"/>
      <c r="Q339" s="515"/>
      <c r="R339" s="518"/>
      <c r="V339" s="519"/>
      <c r="W339" s="515"/>
      <c r="X339" s="518"/>
    </row>
    <row r="340" spans="16:24" x14ac:dyDescent="0.45">
      <c r="P340" s="519"/>
      <c r="Q340" s="515"/>
      <c r="R340" s="518"/>
      <c r="V340" s="519"/>
      <c r="W340" s="515"/>
      <c r="X340" s="518"/>
    </row>
    <row r="341" spans="16:24" x14ac:dyDescent="0.45">
      <c r="P341" s="519"/>
      <c r="Q341" s="515"/>
      <c r="R341" s="518"/>
      <c r="V341" s="519"/>
      <c r="W341" s="515"/>
      <c r="X341" s="518"/>
    </row>
    <row r="342" spans="16:24" x14ac:dyDescent="0.45">
      <c r="P342" s="519"/>
      <c r="Q342" s="515"/>
      <c r="R342" s="518"/>
      <c r="V342" s="519"/>
      <c r="W342" s="515"/>
      <c r="X342" s="518"/>
    </row>
    <row r="343" spans="16:24" x14ac:dyDescent="0.45">
      <c r="P343" s="519"/>
      <c r="Q343" s="515"/>
      <c r="R343" s="518"/>
      <c r="V343" s="519"/>
      <c r="W343" s="515"/>
      <c r="X343" s="518"/>
    </row>
    <row r="344" spans="16:24" x14ac:dyDescent="0.45">
      <c r="P344" s="519"/>
      <c r="Q344" s="515"/>
      <c r="R344" s="518"/>
      <c r="V344" s="519"/>
      <c r="W344" s="515"/>
      <c r="X344" s="518"/>
    </row>
    <row r="345" spans="16:24" x14ac:dyDescent="0.45">
      <c r="P345" s="519"/>
      <c r="Q345" s="515"/>
      <c r="R345" s="518"/>
      <c r="V345" s="519"/>
      <c r="W345" s="515"/>
      <c r="X345" s="518"/>
    </row>
    <row r="346" spans="16:24" x14ac:dyDescent="0.45">
      <c r="P346" s="519"/>
      <c r="Q346" s="515"/>
      <c r="R346" s="518"/>
      <c r="V346" s="519"/>
      <c r="W346" s="515"/>
      <c r="X346" s="518"/>
    </row>
    <row r="347" spans="16:24" x14ac:dyDescent="0.45">
      <c r="P347" s="519"/>
      <c r="Q347" s="515"/>
      <c r="R347" s="518"/>
      <c r="V347" s="519"/>
      <c r="W347" s="515"/>
      <c r="X347" s="518"/>
    </row>
    <row r="348" spans="16:24" x14ac:dyDescent="0.45">
      <c r="P348" s="519"/>
      <c r="Q348" s="515"/>
      <c r="R348" s="518"/>
      <c r="V348" s="519"/>
      <c r="W348" s="515"/>
      <c r="X348" s="518"/>
    </row>
    <row r="349" spans="16:24" x14ac:dyDescent="0.45">
      <c r="P349" s="519"/>
      <c r="Q349" s="515"/>
      <c r="R349" s="518"/>
      <c r="V349" s="519"/>
      <c r="W349" s="515"/>
      <c r="X349" s="518"/>
    </row>
    <row r="350" spans="16:24" x14ac:dyDescent="0.45">
      <c r="P350" s="519"/>
      <c r="Q350" s="515"/>
      <c r="R350" s="518"/>
      <c r="V350" s="519"/>
      <c r="W350" s="515"/>
      <c r="X350" s="518"/>
    </row>
    <row r="351" spans="16:24" x14ac:dyDescent="0.45">
      <c r="P351" s="519"/>
      <c r="Q351" s="515"/>
      <c r="R351" s="518"/>
      <c r="V351" s="519"/>
      <c r="W351" s="515"/>
      <c r="X351" s="518"/>
    </row>
    <row r="352" spans="16:24" x14ac:dyDescent="0.45">
      <c r="P352" s="519"/>
      <c r="Q352" s="515"/>
      <c r="R352" s="518"/>
      <c r="V352" s="519"/>
      <c r="W352" s="515"/>
      <c r="X352" s="518"/>
    </row>
    <row r="353" spans="16:24" x14ac:dyDescent="0.45">
      <c r="P353" s="519"/>
      <c r="Q353" s="515"/>
      <c r="R353" s="518"/>
      <c r="V353" s="519"/>
      <c r="W353" s="515"/>
      <c r="X353" s="518"/>
    </row>
    <row r="354" spans="16:24" x14ac:dyDescent="0.45">
      <c r="P354" s="519"/>
      <c r="Q354" s="515"/>
      <c r="R354" s="518"/>
      <c r="V354" s="519"/>
      <c r="W354" s="515"/>
      <c r="X354" s="518"/>
    </row>
    <row r="355" spans="16:24" x14ac:dyDescent="0.45">
      <c r="P355" s="519"/>
      <c r="Q355" s="515"/>
      <c r="R355" s="518"/>
      <c r="V355" s="519"/>
      <c r="W355" s="515"/>
      <c r="X355" s="518"/>
    </row>
    <row r="356" spans="16:24" x14ac:dyDescent="0.45">
      <c r="P356" s="519"/>
      <c r="Q356" s="515"/>
      <c r="R356" s="518"/>
      <c r="V356" s="519"/>
      <c r="W356" s="515"/>
      <c r="X356" s="518"/>
    </row>
    <row r="357" spans="16:24" x14ac:dyDescent="0.45">
      <c r="P357" s="519"/>
      <c r="Q357" s="515"/>
      <c r="R357" s="518"/>
      <c r="V357" s="519"/>
      <c r="W357" s="515"/>
      <c r="X357" s="518"/>
    </row>
    <row r="358" spans="16:24" x14ac:dyDescent="0.45">
      <c r="P358" s="519"/>
      <c r="Q358" s="515"/>
      <c r="R358" s="518"/>
      <c r="V358" s="519"/>
      <c r="W358" s="515"/>
      <c r="X358" s="518"/>
    </row>
    <row r="359" spans="16:24" x14ac:dyDescent="0.45">
      <c r="P359" s="519"/>
      <c r="Q359" s="515"/>
      <c r="R359" s="518"/>
      <c r="V359" s="519"/>
      <c r="W359" s="515"/>
      <c r="X359" s="518"/>
    </row>
    <row r="360" spans="16:24" x14ac:dyDescent="0.45">
      <c r="P360" s="519"/>
      <c r="Q360" s="515"/>
      <c r="R360" s="518"/>
      <c r="V360" s="519"/>
      <c r="W360" s="515"/>
      <c r="X360" s="518"/>
    </row>
    <row r="361" spans="16:24" x14ac:dyDescent="0.45">
      <c r="P361" s="519"/>
      <c r="Q361" s="515"/>
      <c r="R361" s="518"/>
      <c r="V361" s="519"/>
      <c r="W361" s="515"/>
      <c r="X361" s="518"/>
    </row>
    <row r="362" spans="16:24" x14ac:dyDescent="0.45">
      <c r="P362" s="519"/>
      <c r="Q362" s="515"/>
      <c r="R362" s="518"/>
      <c r="V362" s="519"/>
      <c r="W362" s="515"/>
      <c r="X362" s="518"/>
    </row>
    <row r="363" spans="16:24" x14ac:dyDescent="0.45">
      <c r="P363" s="519"/>
      <c r="Q363" s="515"/>
      <c r="R363" s="518"/>
      <c r="V363" s="519"/>
      <c r="W363" s="515"/>
      <c r="X363" s="518"/>
    </row>
  </sheetData>
  <pageMargins left="0.7" right="0.7" top="0.75" bottom="0.75" header="0.3" footer="0.3"/>
  <pageSetup scale="61" orientation="portrait" r:id="rId1"/>
  <rowBreaks count="2" manualBreakCount="2">
    <brk id="59" max="13" man="1"/>
    <brk id="108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99"/>
    <pageSetUpPr autoPageBreaks="0" fitToPage="1"/>
  </sheetPr>
  <dimension ref="B1:AC259"/>
  <sheetViews>
    <sheetView showGridLines="0" zoomScaleNormal="100" workbookViewId="0">
      <selection activeCell="C14" sqref="C14:D14"/>
    </sheetView>
  </sheetViews>
  <sheetFormatPr defaultColWidth="8.84375" defaultRowHeight="15.9" outlineLevelRow="1" outlineLevelCol="1" x14ac:dyDescent="0.45"/>
  <cols>
    <col min="1" max="2" width="2.69140625" style="4" customWidth="1"/>
    <col min="3" max="3" width="47.69140625" style="4" bestFit="1" customWidth="1"/>
    <col min="4" max="4" width="12.69140625" style="5" customWidth="1"/>
    <col min="5" max="6" width="14" style="5" customWidth="1" outlineLevel="1"/>
    <col min="7" max="8" width="14" style="4" customWidth="1" outlineLevel="1"/>
    <col min="9" max="13" width="14" style="4" bestFit="1" customWidth="1"/>
    <col min="14" max="15" width="2.69140625" style="4" customWidth="1"/>
    <col min="16" max="25" width="14" style="4" customWidth="1"/>
    <col min="26" max="16384" width="8.84375" style="4"/>
  </cols>
  <sheetData>
    <row r="1" spans="2:29" ht="15.75" customHeight="1" x14ac:dyDescent="0.45">
      <c r="O1" s="646"/>
      <c r="P1" s="646"/>
      <c r="Q1" s="646"/>
      <c r="R1" s="646"/>
      <c r="S1" s="646"/>
      <c r="T1" s="646"/>
      <c r="U1" s="646"/>
      <c r="V1" s="646"/>
      <c r="W1" s="646"/>
      <c r="X1" s="646"/>
      <c r="Y1" s="646"/>
      <c r="Z1" s="646"/>
      <c r="AA1" s="646"/>
      <c r="AB1" s="646"/>
      <c r="AC1" s="646"/>
    </row>
    <row r="2" spans="2:29" ht="15.75" customHeight="1" x14ac:dyDescent="0.5">
      <c r="B2" s="1" t="str">
        <f>Company_Name&amp;" - Operating Model - "&amp;Scenario&amp;" Case"</f>
        <v>Walmart Inc. - Operating Model - Base Case</v>
      </c>
      <c r="O2" s="646"/>
      <c r="P2" s="646"/>
      <c r="Q2" s="646"/>
      <c r="R2" s="646"/>
      <c r="S2" s="646"/>
      <c r="T2" s="646"/>
      <c r="U2" s="646"/>
      <c r="V2" s="646"/>
      <c r="W2" s="646"/>
      <c r="X2" s="646"/>
      <c r="Y2" s="646"/>
      <c r="Z2" s="646"/>
      <c r="AA2" s="646"/>
      <c r="AB2" s="646"/>
      <c r="AC2" s="646"/>
    </row>
    <row r="3" spans="2:29" ht="15.75" customHeight="1" x14ac:dyDescent="0.45">
      <c r="B3" s="4" t="s">
        <v>2</v>
      </c>
      <c r="O3" s="646"/>
      <c r="P3" s="646"/>
      <c r="Q3" s="646"/>
      <c r="R3" s="646"/>
      <c r="S3" s="646"/>
      <c r="T3" s="646"/>
      <c r="U3" s="646"/>
      <c r="V3" s="646"/>
      <c r="W3" s="646"/>
      <c r="X3" s="646"/>
      <c r="Y3" s="646"/>
      <c r="Z3" s="646"/>
      <c r="AA3" s="646"/>
      <c r="AB3" s="646"/>
      <c r="AC3" s="646"/>
    </row>
    <row r="4" spans="2:29" ht="15.75" customHeight="1" x14ac:dyDescent="0.45">
      <c r="D4" s="4"/>
      <c r="E4" s="4"/>
      <c r="O4" s="646"/>
      <c r="P4" s="646"/>
      <c r="Q4" s="646"/>
      <c r="R4" s="646"/>
      <c r="S4" s="646"/>
      <c r="T4" s="646"/>
      <c r="U4" s="646"/>
      <c r="V4" s="646"/>
      <c r="W4" s="646"/>
      <c r="X4" s="646"/>
      <c r="Y4" s="646"/>
      <c r="Z4" s="646"/>
      <c r="AA4" s="646"/>
      <c r="AB4" s="646"/>
      <c r="AC4" s="646"/>
    </row>
    <row r="5" spans="2:29" ht="15.75" customHeight="1" x14ac:dyDescent="0.45">
      <c r="B5" s="585" t="s">
        <v>15</v>
      </c>
      <c r="C5" s="586"/>
      <c r="D5" s="586"/>
      <c r="E5" s="586"/>
      <c r="F5" s="586"/>
      <c r="G5" s="586"/>
      <c r="H5" s="586"/>
      <c r="I5" s="586"/>
      <c r="J5" s="586"/>
      <c r="K5" s="586"/>
      <c r="L5" s="586"/>
      <c r="M5" s="586"/>
      <c r="O5" s="656"/>
      <c r="P5" s="656"/>
      <c r="Q5" s="656"/>
      <c r="R5" s="656"/>
      <c r="S5" s="656"/>
      <c r="T5" s="656"/>
      <c r="U5" s="656"/>
      <c r="V5" s="656"/>
      <c r="W5" s="656"/>
      <c r="X5" s="656"/>
      <c r="Y5" s="656"/>
      <c r="Z5" s="656"/>
      <c r="AA5" s="656"/>
      <c r="AB5" s="646"/>
      <c r="AC5" s="646"/>
    </row>
    <row r="6" spans="2:29" ht="15.75" customHeight="1" outlineLevel="1" x14ac:dyDescent="0.45">
      <c r="B6" s="6"/>
      <c r="I6" s="5"/>
      <c r="O6" s="657"/>
      <c r="P6" s="657"/>
      <c r="Q6" s="657"/>
      <c r="R6" s="657"/>
      <c r="S6" s="657"/>
      <c r="T6" s="657"/>
      <c r="U6" s="657"/>
      <c r="V6" s="657"/>
      <c r="W6" s="657"/>
      <c r="X6" s="657"/>
      <c r="Y6" s="657"/>
      <c r="Z6" s="657"/>
      <c r="AA6" s="656"/>
      <c r="AB6" s="646"/>
      <c r="AC6" s="646"/>
    </row>
    <row r="7" spans="2:29" ht="15.75" customHeight="1" outlineLevel="1" x14ac:dyDescent="0.45">
      <c r="C7" s="4" t="s">
        <v>0</v>
      </c>
      <c r="D7" s="597" t="s">
        <v>185</v>
      </c>
      <c r="E7" s="298"/>
      <c r="I7" s="4" t="s">
        <v>16</v>
      </c>
      <c r="K7" s="7"/>
      <c r="M7" s="600">
        <v>43496</v>
      </c>
      <c r="O7" s="657"/>
      <c r="P7" s="657"/>
      <c r="Q7" s="657"/>
      <c r="R7" s="657"/>
      <c r="S7" s="657"/>
      <c r="T7" s="657"/>
      <c r="U7" s="657"/>
      <c r="V7" s="657"/>
      <c r="W7" s="657"/>
      <c r="X7" s="657"/>
      <c r="Y7" s="657"/>
      <c r="Z7" s="657"/>
      <c r="AA7" s="656"/>
      <c r="AB7" s="646"/>
      <c r="AC7" s="646"/>
    </row>
    <row r="8" spans="2:29" ht="15.75" customHeight="1" outlineLevel="1" x14ac:dyDescent="0.45">
      <c r="C8" s="4" t="s">
        <v>13</v>
      </c>
      <c r="D8" s="597" t="s">
        <v>186</v>
      </c>
      <c r="E8" s="299"/>
      <c r="I8" s="4" t="s">
        <v>18</v>
      </c>
      <c r="K8" s="8"/>
      <c r="M8" s="601">
        <f>EOMONTH(Hist_Year,12)</f>
        <v>43861</v>
      </c>
      <c r="O8" s="657"/>
      <c r="P8" s="657"/>
      <c r="Q8" s="657"/>
      <c r="R8" s="657"/>
      <c r="S8" s="657"/>
      <c r="T8" s="657"/>
      <c r="U8" s="657"/>
      <c r="V8" s="657"/>
      <c r="W8" s="657"/>
      <c r="X8" s="657"/>
      <c r="Y8" s="657"/>
      <c r="Z8" s="657"/>
      <c r="AA8" s="656"/>
      <c r="AB8" s="646"/>
      <c r="AC8" s="646"/>
    </row>
    <row r="9" spans="2:29" ht="15.75" customHeight="1" outlineLevel="1" x14ac:dyDescent="0.45">
      <c r="C9" s="4" t="s">
        <v>1</v>
      </c>
      <c r="D9" s="598">
        <v>1000000</v>
      </c>
      <c r="E9" s="295"/>
      <c r="F9" s="4"/>
      <c r="I9" s="4" t="s">
        <v>17</v>
      </c>
      <c r="K9" s="8"/>
      <c r="M9" s="600">
        <v>43585</v>
      </c>
      <c r="O9" s="657"/>
      <c r="P9" s="657"/>
      <c r="Q9" s="657"/>
      <c r="R9" s="657"/>
      <c r="S9" s="657"/>
      <c r="T9" s="657"/>
      <c r="U9" s="657"/>
      <c r="V9" s="657"/>
      <c r="W9" s="657"/>
      <c r="X9" s="657"/>
      <c r="Y9" s="657"/>
      <c r="Z9" s="657"/>
      <c r="AA9" s="656"/>
      <c r="AB9" s="646"/>
      <c r="AC9" s="646"/>
    </row>
    <row r="10" spans="2:29" ht="15.75" customHeight="1" outlineLevel="1" x14ac:dyDescent="0.45">
      <c r="D10" s="569"/>
      <c r="F10" s="4"/>
      <c r="I10" s="520" t="s">
        <v>409</v>
      </c>
      <c r="K10" s="9"/>
      <c r="M10" s="600">
        <v>43622</v>
      </c>
      <c r="O10" s="657"/>
      <c r="P10" s="657"/>
      <c r="Q10" s="657"/>
      <c r="R10" s="657"/>
      <c r="S10" s="657"/>
      <c r="T10" s="657"/>
      <c r="U10" s="657"/>
      <c r="V10" s="657"/>
      <c r="W10" s="657"/>
      <c r="X10" s="657"/>
      <c r="Y10" s="657"/>
      <c r="Z10" s="657"/>
      <c r="AA10" s="656"/>
      <c r="AB10" s="646"/>
      <c r="AC10" s="646"/>
    </row>
    <row r="11" spans="2:29" ht="15.75" customHeight="1" outlineLevel="1" x14ac:dyDescent="0.45">
      <c r="C11" s="4" t="s">
        <v>128</v>
      </c>
      <c r="D11" s="599">
        <v>105.110001</v>
      </c>
      <c r="E11" s="296"/>
      <c r="F11" s="4"/>
      <c r="M11" s="570"/>
      <c r="O11" s="657"/>
      <c r="P11" s="657"/>
      <c r="Q11" s="657"/>
      <c r="R11" s="657"/>
      <c r="S11" s="657"/>
      <c r="T11" s="657"/>
      <c r="U11" s="657"/>
      <c r="V11" s="657"/>
      <c r="W11" s="657"/>
      <c r="X11" s="657"/>
      <c r="Y11" s="657"/>
      <c r="Z11" s="657"/>
      <c r="AA11" s="656"/>
      <c r="AB11" s="646"/>
      <c r="AC11" s="646"/>
    </row>
    <row r="12" spans="2:29" ht="15.75" customHeight="1" outlineLevel="1" x14ac:dyDescent="0.45">
      <c r="C12" s="4" t="s">
        <v>8</v>
      </c>
      <c r="D12" s="322">
        <f>1251/5157</f>
        <v>0.2425828970331588</v>
      </c>
      <c r="E12" s="297"/>
      <c r="I12" s="476" t="s">
        <v>378</v>
      </c>
      <c r="M12" s="600">
        <f>M9</f>
        <v>43585</v>
      </c>
      <c r="O12" s="657"/>
      <c r="P12" s="657"/>
      <c r="Q12" s="657"/>
      <c r="R12" s="657"/>
      <c r="S12" s="657"/>
      <c r="T12" s="657"/>
      <c r="U12" s="657"/>
      <c r="V12" s="657"/>
      <c r="W12" s="657"/>
      <c r="X12" s="657"/>
      <c r="Y12" s="657"/>
      <c r="Z12" s="657"/>
      <c r="AA12" s="656"/>
      <c r="AB12" s="646"/>
      <c r="AC12" s="646"/>
    </row>
    <row r="13" spans="2:29" ht="15.75" customHeight="1" outlineLevel="1" x14ac:dyDescent="0.45">
      <c r="D13" s="10"/>
      <c r="E13" s="10"/>
      <c r="I13" s="476" t="s">
        <v>374</v>
      </c>
      <c r="M13" s="601">
        <f>Next_Year</f>
        <v>43861</v>
      </c>
      <c r="O13" s="656"/>
      <c r="P13" s="656"/>
      <c r="Q13" s="656"/>
      <c r="R13" s="656"/>
      <c r="S13" s="656"/>
      <c r="T13" s="656"/>
      <c r="U13" s="656"/>
      <c r="V13" s="656"/>
      <c r="W13" s="656"/>
      <c r="X13" s="656"/>
      <c r="Y13" s="656"/>
      <c r="Z13" s="656"/>
      <c r="AA13" s="656"/>
      <c r="AB13" s="646"/>
      <c r="AC13" s="646"/>
    </row>
    <row r="14" spans="2:29" ht="15.75" customHeight="1" outlineLevel="1" x14ac:dyDescent="0.45">
      <c r="E14" s="10" t="s">
        <v>411</v>
      </c>
      <c r="I14" s="476" t="s">
        <v>375</v>
      </c>
      <c r="M14" s="601">
        <f>EOMONTH(Forward_Year_1,12)</f>
        <v>44227</v>
      </c>
      <c r="O14" s="656"/>
      <c r="P14" s="656"/>
      <c r="Q14" s="656"/>
      <c r="R14" s="656"/>
      <c r="S14" s="656"/>
      <c r="T14" s="656"/>
      <c r="U14" s="656"/>
      <c r="V14" s="656"/>
      <c r="W14" s="656"/>
      <c r="X14" s="656"/>
      <c r="Y14" s="656"/>
      <c r="Z14" s="656"/>
      <c r="AA14" s="656"/>
      <c r="AB14" s="646"/>
      <c r="AC14" s="646"/>
    </row>
    <row r="15" spans="2:29" ht="15.75" customHeight="1" outlineLevel="1" x14ac:dyDescent="0.45">
      <c r="D15" s="10"/>
      <c r="E15" s="10"/>
      <c r="I15" s="476" t="s">
        <v>376</v>
      </c>
      <c r="M15" s="601">
        <f>EOMONTH(Forward_Year_2,12)</f>
        <v>44592</v>
      </c>
      <c r="O15" s="656"/>
      <c r="P15" s="656"/>
      <c r="Q15" s="656"/>
      <c r="R15" s="656"/>
      <c r="S15" s="656"/>
      <c r="T15" s="656"/>
      <c r="U15" s="656"/>
      <c r="V15" s="656"/>
      <c r="W15" s="656"/>
      <c r="X15" s="656"/>
      <c r="Y15" s="656"/>
      <c r="Z15" s="656"/>
      <c r="AA15" s="656"/>
      <c r="AB15" s="646"/>
      <c r="AC15" s="646"/>
    </row>
    <row r="16" spans="2:29" ht="15.75" customHeight="1" outlineLevel="1" x14ac:dyDescent="0.45">
      <c r="D16" s="10"/>
      <c r="E16" s="10"/>
      <c r="M16" s="570"/>
      <c r="O16" s="656"/>
      <c r="P16" s="657"/>
      <c r="Q16" s="656"/>
      <c r="R16" s="656"/>
      <c r="S16" s="656"/>
      <c r="T16" s="656"/>
      <c r="U16" s="656"/>
      <c r="V16" s="656"/>
      <c r="W16" s="656"/>
      <c r="X16" s="656"/>
      <c r="Y16" s="656"/>
      <c r="Z16" s="656"/>
      <c r="AA16" s="656"/>
      <c r="AB16" s="646"/>
      <c r="AC16" s="646"/>
    </row>
    <row r="17" spans="2:29" ht="15.75" customHeight="1" outlineLevel="1" x14ac:dyDescent="0.45">
      <c r="D17" s="10"/>
      <c r="E17" s="10"/>
      <c r="I17" s="338" t="s">
        <v>281</v>
      </c>
      <c r="M17" s="602">
        <v>0</v>
      </c>
      <c r="O17" s="656"/>
      <c r="P17" s="656"/>
      <c r="Q17" s="656"/>
      <c r="R17" s="656"/>
      <c r="S17" s="656"/>
      <c r="T17" s="656"/>
      <c r="U17" s="656"/>
      <c r="V17" s="656"/>
      <c r="W17" s="656"/>
      <c r="X17" s="656"/>
      <c r="Y17" s="656"/>
      <c r="Z17" s="656"/>
      <c r="AA17" s="656"/>
      <c r="AB17" s="646"/>
      <c r="AC17" s="646"/>
    </row>
    <row r="18" spans="2:29" ht="15.75" customHeight="1" x14ac:dyDescent="0.45">
      <c r="D18" s="10"/>
      <c r="E18" s="10"/>
      <c r="O18" s="656"/>
      <c r="P18" s="656"/>
      <c r="Q18" s="656"/>
      <c r="R18" s="656"/>
      <c r="S18" s="656"/>
      <c r="T18" s="656"/>
      <c r="U18" s="656"/>
      <c r="V18" s="656"/>
      <c r="W18" s="656"/>
      <c r="X18" s="656"/>
      <c r="Y18" s="656"/>
      <c r="Z18" s="656"/>
      <c r="AA18" s="656"/>
      <c r="AC18" s="646"/>
    </row>
    <row r="19" spans="2:29" ht="15.75" customHeight="1" x14ac:dyDescent="0.45">
      <c r="B19" s="11"/>
      <c r="C19" s="11"/>
      <c r="D19" s="12"/>
      <c r="E19" s="13" t="s">
        <v>187</v>
      </c>
      <c r="F19" s="13"/>
      <c r="G19" s="13"/>
      <c r="H19" s="14"/>
      <c r="I19" s="13" t="s">
        <v>188</v>
      </c>
      <c r="J19" s="13"/>
      <c r="K19" s="13"/>
      <c r="L19" s="13"/>
      <c r="M19" s="13"/>
      <c r="O19" s="656"/>
      <c r="P19" s="657"/>
      <c r="Q19" s="657"/>
      <c r="R19" s="657"/>
      <c r="S19" s="657"/>
      <c r="T19" s="657"/>
      <c r="U19" s="657"/>
      <c r="V19" s="657"/>
      <c r="W19" s="657"/>
      <c r="X19" s="657"/>
      <c r="Y19" s="657"/>
      <c r="Z19" s="656"/>
      <c r="AA19" s="656"/>
      <c r="AB19" s="646"/>
      <c r="AC19" s="646"/>
    </row>
    <row r="20" spans="2:29" ht="15.75" customHeight="1" x14ac:dyDescent="0.45">
      <c r="B20" s="233" t="s">
        <v>380</v>
      </c>
      <c r="C20" s="233"/>
      <c r="D20" s="234" t="s">
        <v>127</v>
      </c>
      <c r="E20" s="16">
        <f t="shared" ref="E20:F20" si="0">EOMONTH(F20,-12)</f>
        <v>42400</v>
      </c>
      <c r="F20" s="16">
        <f t="shared" si="0"/>
        <v>42766</v>
      </c>
      <c r="G20" s="16">
        <f>EOMONTH(H20,-12)</f>
        <v>43131</v>
      </c>
      <c r="H20" s="17">
        <f>Hist_Year</f>
        <v>43496</v>
      </c>
      <c r="I20" s="16">
        <f>EOMONTH(H20,12)</f>
        <v>43861</v>
      </c>
      <c r="J20" s="16">
        <f t="shared" ref="J20:M20" si="1">EOMONTH(I20,12)</f>
        <v>44227</v>
      </c>
      <c r="K20" s="16">
        <f t="shared" si="1"/>
        <v>44592</v>
      </c>
      <c r="L20" s="16">
        <f t="shared" si="1"/>
        <v>44957</v>
      </c>
      <c r="M20" s="16">
        <f t="shared" si="1"/>
        <v>45322</v>
      </c>
      <c r="O20" s="657"/>
      <c r="P20" s="657"/>
      <c r="Q20" s="656"/>
      <c r="R20" s="657"/>
      <c r="S20" s="657"/>
      <c r="T20" s="657"/>
      <c r="U20" s="657"/>
      <c r="V20" s="657"/>
      <c r="W20" s="657"/>
      <c r="X20" s="657"/>
      <c r="Y20" s="657"/>
      <c r="Z20" s="657"/>
      <c r="AA20" s="656"/>
      <c r="AB20" s="646"/>
      <c r="AC20" s="646"/>
    </row>
    <row r="21" spans="2:29" ht="15.75" customHeight="1" outlineLevel="1" x14ac:dyDescent="0.45">
      <c r="B21" s="587" t="s">
        <v>440</v>
      </c>
      <c r="C21" s="587"/>
      <c r="D21" s="588"/>
      <c r="E21" s="588"/>
      <c r="F21" s="589"/>
      <c r="G21" s="589"/>
      <c r="H21" s="590"/>
      <c r="I21" s="589"/>
      <c r="J21" s="589"/>
      <c r="K21" s="589"/>
      <c r="L21" s="589"/>
      <c r="M21" s="589"/>
      <c r="O21" s="657"/>
      <c r="P21" s="657"/>
      <c r="Q21" s="657"/>
      <c r="R21" s="657"/>
      <c r="S21" s="657"/>
      <c r="T21" s="657"/>
      <c r="U21" s="657"/>
      <c r="V21" s="657"/>
      <c r="W21" s="657"/>
      <c r="X21" s="658"/>
      <c r="Y21" s="658"/>
      <c r="Z21" s="657"/>
      <c r="AA21" s="656"/>
      <c r="AB21" s="646"/>
      <c r="AC21" s="646"/>
    </row>
    <row r="22" spans="2:29" ht="15.75" customHeight="1" outlineLevel="1" x14ac:dyDescent="0.45">
      <c r="C22" s="304" t="s">
        <v>195</v>
      </c>
      <c r="D22" s="235" t="s">
        <v>126</v>
      </c>
      <c r="E22" s="613">
        <v>298378</v>
      </c>
      <c r="F22" s="613">
        <v>307833</v>
      </c>
      <c r="G22" s="613">
        <v>318477</v>
      </c>
      <c r="H22" s="613">
        <v>331666</v>
      </c>
      <c r="I22" s="614">
        <f>+I26*AVERAGE(H25,I25)</f>
        <v>340467.5864749999</v>
      </c>
      <c r="J22" s="614">
        <f>+J26*AVERAGE(I25,J25)</f>
        <v>350026.21396528545</v>
      </c>
      <c r="K22" s="614">
        <f>+K26*AVERAGE(J25,K25)</f>
        <v>358097.81845932495</v>
      </c>
      <c r="L22" s="614">
        <f>+L26*AVERAGE(K25,L25)</f>
        <v>366355.55415299698</v>
      </c>
      <c r="M22" s="614">
        <f>+M26*AVERAGE(L25,M25)</f>
        <v>374803.71323176508</v>
      </c>
      <c r="O22" s="657"/>
      <c r="P22" s="656"/>
      <c r="Q22" s="656"/>
      <c r="R22" s="656"/>
      <c r="S22" s="656"/>
      <c r="T22" s="656"/>
      <c r="U22" s="656"/>
      <c r="V22" s="656"/>
      <c r="W22" s="656"/>
      <c r="X22" s="656"/>
      <c r="Y22" s="656"/>
      <c r="Z22" s="657"/>
      <c r="AA22" s="656"/>
      <c r="AB22" s="646"/>
      <c r="AC22" s="646"/>
    </row>
    <row r="23" spans="2:29" ht="15.75" customHeight="1" outlineLevel="1" x14ac:dyDescent="0.45">
      <c r="C23" s="236" t="s">
        <v>196</v>
      </c>
      <c r="D23" s="235" t="s">
        <v>5</v>
      </c>
      <c r="E23" s="485" t="str">
        <f>IFERROR(E22/D22-1,"N/A")</f>
        <v>N/A</v>
      </c>
      <c r="F23" s="485">
        <f t="shared" ref="F23:H23" si="2">IFERROR(F22/E22-1,"N/A")</f>
        <v>3.1687993082599952E-2</v>
      </c>
      <c r="G23" s="485">
        <f t="shared" si="2"/>
        <v>3.4577189580064616E-2</v>
      </c>
      <c r="H23" s="485">
        <f t="shared" si="2"/>
        <v>4.1412723681772956E-2</v>
      </c>
      <c r="I23" s="485">
        <f t="shared" ref="I23" si="3">IFERROR(I22/H22-1,"N/A")</f>
        <v>2.6537499999999659E-2</v>
      </c>
      <c r="J23" s="485">
        <f t="shared" ref="J23" si="4">IFERROR(J22/I22-1,"N/A")</f>
        <v>2.807499999999985E-2</v>
      </c>
      <c r="K23" s="485">
        <f t="shared" ref="K23" si="5">IFERROR(K22/J22-1,"N/A")</f>
        <v>2.306000000000008E-2</v>
      </c>
      <c r="L23" s="485">
        <f t="shared" ref="L23" si="6">IFERROR(L22/K22-1,"N/A")</f>
        <v>2.306000000000008E-2</v>
      </c>
      <c r="M23" s="485">
        <f t="shared" ref="M23" si="7">IFERROR(M22/L22-1,"N/A")</f>
        <v>2.306000000000008E-2</v>
      </c>
      <c r="O23" s="657"/>
      <c r="P23" s="656"/>
      <c r="Q23" s="656"/>
      <c r="R23" s="656"/>
      <c r="S23" s="656"/>
      <c r="T23" s="656"/>
      <c r="U23" s="656"/>
      <c r="V23" s="656"/>
      <c r="W23" s="656"/>
      <c r="X23" s="656"/>
      <c r="Y23" s="656"/>
      <c r="Z23" s="657"/>
      <c r="AA23" s="656"/>
      <c r="AB23" s="646"/>
      <c r="AC23" s="646"/>
    </row>
    <row r="24" spans="2:29" ht="15.75" customHeight="1" outlineLevel="1" x14ac:dyDescent="0.45">
      <c r="C24" s="304"/>
      <c r="D24" s="235"/>
      <c r="E24" s="578"/>
      <c r="F24" s="302"/>
      <c r="G24" s="302"/>
      <c r="H24" s="302"/>
      <c r="I24" s="18"/>
      <c r="J24" s="18"/>
      <c r="K24" s="18"/>
      <c r="L24" s="18"/>
      <c r="M24" s="18"/>
      <c r="O24" s="657"/>
      <c r="P24" s="656"/>
      <c r="Q24" s="656"/>
      <c r="R24" s="656"/>
      <c r="S24" s="656"/>
      <c r="T24" s="656"/>
      <c r="U24" s="656"/>
      <c r="V24" s="657"/>
      <c r="W24" s="657"/>
      <c r="X24" s="657"/>
      <c r="Y24" s="657"/>
      <c r="Z24" s="657"/>
      <c r="AA24" s="656"/>
      <c r="AB24" s="646"/>
      <c r="AC24" s="646"/>
    </row>
    <row r="25" spans="2:29" ht="15.75" customHeight="1" outlineLevel="1" x14ac:dyDescent="0.45">
      <c r="C25" s="304" t="s">
        <v>189</v>
      </c>
      <c r="D25" s="236" t="s">
        <v>190</v>
      </c>
      <c r="E25" s="591">
        <v>690</v>
      </c>
      <c r="F25" s="591">
        <v>699</v>
      </c>
      <c r="G25" s="591">
        <v>705</v>
      </c>
      <c r="H25" s="591">
        <v>705</v>
      </c>
      <c r="I25" s="18">
        <f>+H25*(1+I28)</f>
        <v>707.1149999999999</v>
      </c>
      <c r="J25" s="18">
        <f>+I25*(1+J28)</f>
        <v>709.2363449999998</v>
      </c>
      <c r="K25" s="18">
        <f>+J25*(1+K28)</f>
        <v>711.36405403499975</v>
      </c>
      <c r="L25" s="18">
        <f>+K25*(1+L28)</f>
        <v>713.49814619710469</v>
      </c>
      <c r="M25" s="18">
        <f>+L25*(1+M28)</f>
        <v>715.63864063569588</v>
      </c>
      <c r="O25" s="656"/>
      <c r="P25" s="656"/>
      <c r="Q25" s="656"/>
      <c r="R25" s="656"/>
      <c r="S25" s="656"/>
      <c r="T25" s="656"/>
      <c r="U25" s="656"/>
      <c r="V25" s="656"/>
      <c r="W25" s="656"/>
      <c r="X25" s="656"/>
      <c r="Y25" s="656"/>
      <c r="Z25" s="657"/>
      <c r="AA25" s="656"/>
      <c r="AB25" s="646"/>
      <c r="AC25" s="646"/>
    </row>
    <row r="26" spans="2:29" ht="15.75" customHeight="1" outlineLevel="1" x14ac:dyDescent="0.45">
      <c r="C26" s="304" t="s">
        <v>191</v>
      </c>
      <c r="D26" s="236" t="s">
        <v>192</v>
      </c>
      <c r="E26" s="39">
        <f>IFERROR(E22/AVERAGE(680,E25),"N/A")</f>
        <v>435.58832116788324</v>
      </c>
      <c r="F26" s="39">
        <f>IFERROR(F22/AVERAGE(E25,F25),"N/A")</f>
        <v>443.24406047516197</v>
      </c>
      <c r="G26" s="39">
        <f>IFERROR(G22/AVERAGE(F25,G25),"N/A")</f>
        <v>453.67094017094018</v>
      </c>
      <c r="H26" s="39">
        <f>IFERROR(H22/AVERAGE(G25,H25),"N/A")</f>
        <v>470.44822695035464</v>
      </c>
      <c r="I26" s="39">
        <f>+H26*(1+I33)</f>
        <v>482.20943262411345</v>
      </c>
      <c r="J26" s="39">
        <f>+I26*(1+J33)</f>
        <v>494.26466843971622</v>
      </c>
      <c r="K26" s="39">
        <f>+J26*(1+K33)</f>
        <v>504.14996180851057</v>
      </c>
      <c r="L26" s="39">
        <f>+K26*(1+L33)</f>
        <v>514.23296104468079</v>
      </c>
      <c r="M26" s="39">
        <f>+L26*(1+M33)</f>
        <v>524.51762026557446</v>
      </c>
      <c r="O26" s="657"/>
      <c r="P26" s="657"/>
      <c r="Q26" s="657"/>
      <c r="R26" s="657"/>
      <c r="S26" s="657"/>
      <c r="T26" s="657"/>
      <c r="U26" s="657"/>
      <c r="V26" s="657"/>
      <c r="W26" s="657"/>
      <c r="X26" s="657"/>
      <c r="Y26" s="657"/>
      <c r="Z26" s="657"/>
      <c r="AA26" s="656"/>
      <c r="AB26" s="646"/>
      <c r="AC26" s="646"/>
    </row>
    <row r="27" spans="2:29" ht="15.75" customHeight="1" outlineLevel="1" x14ac:dyDescent="0.45">
      <c r="C27" s="6"/>
      <c r="F27" s="18"/>
      <c r="G27" s="18"/>
      <c r="H27" s="18"/>
      <c r="I27" s="615"/>
      <c r="J27" s="18"/>
      <c r="K27" s="18"/>
      <c r="L27" s="18"/>
      <c r="M27" s="18"/>
      <c r="O27" s="657"/>
      <c r="P27" s="657"/>
      <c r="Q27" s="656"/>
      <c r="R27" s="656"/>
      <c r="S27" s="657"/>
      <c r="T27" s="657"/>
      <c r="U27" s="657"/>
      <c r="V27" s="657"/>
      <c r="W27" s="657"/>
      <c r="X27" s="657"/>
      <c r="Y27" s="657"/>
      <c r="Z27" s="657"/>
      <c r="AA27" s="656"/>
      <c r="AB27" s="646"/>
      <c r="AC27" s="646"/>
    </row>
    <row r="28" spans="2:29" ht="15.75" customHeight="1" outlineLevel="1" x14ac:dyDescent="0.45">
      <c r="C28" s="304" t="s">
        <v>193</v>
      </c>
      <c r="D28" s="235" t="s">
        <v>5</v>
      </c>
      <c r="E28" s="20" t="str">
        <f>IFERROR(E25/D25-1,"N/A")</f>
        <v>N/A</v>
      </c>
      <c r="F28" s="20">
        <f>IFERROR(F25/E25-1,"N/A")</f>
        <v>1.304347826086949E-2</v>
      </c>
      <c r="G28" s="20">
        <f>IFERROR(G25/F25-1,"N/A")</f>
        <v>8.5836909871244149E-3</v>
      </c>
      <c r="H28" s="20">
        <f>IFERROR(H25/G25-1,"N/A")</f>
        <v>0</v>
      </c>
      <c r="I28" s="615">
        <f>_xlfn.XLOOKUP(Scenario,$C29:$C31,I29:I31,"N/A",0)</f>
        <v>3.0000000000000001E-3</v>
      </c>
      <c r="J28" s="615">
        <f>_xlfn.XLOOKUP(Scenario,$C29:$C31,J29:J31,"N/A",0)</f>
        <v>3.0000000000000001E-3</v>
      </c>
      <c r="K28" s="615">
        <f>_xlfn.XLOOKUP(Scenario,$C29:$C31,K29:K31,"N/A",0)</f>
        <v>3.0000000000000001E-3</v>
      </c>
      <c r="L28" s="615">
        <f>_xlfn.XLOOKUP(Scenario,$C29:$C31,L29:L31,"N/A",0)</f>
        <v>3.0000000000000001E-3</v>
      </c>
      <c r="M28" s="615">
        <f>_xlfn.XLOOKUP(Scenario,$C29:$C31,M29:M31,"N/A",0)</f>
        <v>3.0000000000000001E-3</v>
      </c>
      <c r="O28" s="657"/>
      <c r="P28" s="656"/>
      <c r="Q28" s="656"/>
      <c r="R28" s="656"/>
      <c r="S28" s="656"/>
      <c r="T28" s="656"/>
      <c r="U28" s="656"/>
      <c r="V28" s="656"/>
      <c r="W28" s="657"/>
      <c r="X28" s="657"/>
      <c r="Y28" s="657"/>
      <c r="Z28" s="657"/>
      <c r="AA28" s="656"/>
      <c r="AB28" s="646"/>
      <c r="AC28" s="646"/>
    </row>
    <row r="29" spans="2:29" ht="15.75" customHeight="1" outlineLevel="1" x14ac:dyDescent="0.45">
      <c r="C29" s="232" t="s">
        <v>173</v>
      </c>
      <c r="D29" s="235" t="s">
        <v>5</v>
      </c>
      <c r="E29" s="300"/>
      <c r="F29" s="300"/>
      <c r="G29" s="300"/>
      <c r="H29" s="300"/>
      <c r="I29" s="19">
        <v>0.01</v>
      </c>
      <c r="J29" s="19">
        <v>8.0000000000000002E-3</v>
      </c>
      <c r="K29" s="19">
        <v>6.0000000000000001E-3</v>
      </c>
      <c r="L29" s="19">
        <v>5.0000000000000001E-3</v>
      </c>
      <c r="M29" s="19">
        <v>4.0000000000000001E-3</v>
      </c>
      <c r="O29" s="656"/>
      <c r="P29" s="656"/>
      <c r="Q29" s="656"/>
      <c r="R29" s="656"/>
      <c r="S29" s="656"/>
      <c r="T29" s="656"/>
      <c r="U29" s="657"/>
      <c r="V29" s="656"/>
      <c r="W29" s="657"/>
      <c r="X29" s="657"/>
      <c r="Y29" s="657"/>
      <c r="Z29" s="657"/>
      <c r="AA29" s="656"/>
      <c r="AB29" s="646"/>
      <c r="AC29" s="646"/>
    </row>
    <row r="30" spans="2:29" ht="15.75" customHeight="1" outlineLevel="1" x14ac:dyDescent="0.45">
      <c r="C30" s="232" t="s">
        <v>172</v>
      </c>
      <c r="D30" s="235" t="s">
        <v>5</v>
      </c>
      <c r="E30" s="300"/>
      <c r="F30" s="300"/>
      <c r="G30" s="300"/>
      <c r="H30" s="300"/>
      <c r="I30" s="19">
        <v>3.0000000000000001E-3</v>
      </c>
      <c r="J30" s="19">
        <v>3.0000000000000001E-3</v>
      </c>
      <c r="K30" s="19">
        <v>3.0000000000000001E-3</v>
      </c>
      <c r="L30" s="19">
        <v>3.0000000000000001E-3</v>
      </c>
      <c r="M30" s="19">
        <v>3.0000000000000001E-3</v>
      </c>
      <c r="O30" s="656"/>
      <c r="P30" s="656"/>
      <c r="Q30" s="656"/>
      <c r="R30" s="656"/>
      <c r="S30" s="656"/>
      <c r="T30" s="656"/>
      <c r="U30" s="656"/>
      <c r="V30" s="657"/>
      <c r="W30" s="656"/>
      <c r="X30" s="657"/>
      <c r="Y30" s="657"/>
      <c r="Z30" s="657"/>
      <c r="AA30" s="656"/>
      <c r="AB30" s="646"/>
      <c r="AC30" s="646"/>
    </row>
    <row r="31" spans="2:29" ht="15.75" customHeight="1" outlineLevel="1" x14ac:dyDescent="0.45">
      <c r="C31" s="232" t="s">
        <v>174</v>
      </c>
      <c r="D31" s="235" t="s">
        <v>5</v>
      </c>
      <c r="E31" s="300"/>
      <c r="F31" s="300"/>
      <c r="G31" s="300"/>
      <c r="H31" s="300"/>
      <c r="I31" s="19">
        <v>-5.0000000000000001E-3</v>
      </c>
      <c r="J31" s="19">
        <v>-5.0000000000000001E-3</v>
      </c>
      <c r="K31" s="19">
        <v>0.01</v>
      </c>
      <c r="L31" s="19">
        <v>5.0000000000000001E-3</v>
      </c>
      <c r="M31" s="19">
        <v>3.0000000000000001E-3</v>
      </c>
      <c r="O31" s="656"/>
      <c r="P31" s="656"/>
      <c r="Q31" s="656"/>
      <c r="R31" s="656"/>
      <c r="S31" s="656"/>
      <c r="T31" s="656"/>
      <c r="U31" s="657"/>
      <c r="V31" s="656"/>
      <c r="W31" s="656"/>
      <c r="X31" s="656"/>
      <c r="Y31" s="656"/>
      <c r="Z31" s="656"/>
      <c r="AA31" s="656"/>
      <c r="AC31" s="646"/>
    </row>
    <row r="32" spans="2:29" ht="15.75" customHeight="1" outlineLevel="1" x14ac:dyDescent="0.45">
      <c r="C32" s="232"/>
      <c r="D32" s="235"/>
      <c r="E32" s="300"/>
      <c r="F32" s="300"/>
      <c r="G32" s="300"/>
      <c r="H32" s="300"/>
      <c r="I32" s="18"/>
      <c r="J32" s="18"/>
      <c r="K32" s="18"/>
      <c r="L32" s="18"/>
      <c r="M32" s="18"/>
      <c r="O32" s="656"/>
      <c r="P32" s="656"/>
      <c r="Q32" s="656"/>
      <c r="R32" s="656"/>
      <c r="S32" s="656"/>
      <c r="T32" s="656"/>
      <c r="U32" s="656"/>
      <c r="V32" s="656"/>
      <c r="W32" s="656"/>
      <c r="X32" s="656"/>
      <c r="Y32" s="656"/>
      <c r="Z32" s="656"/>
      <c r="AA32" s="656"/>
      <c r="AC32" s="646"/>
    </row>
    <row r="33" spans="2:29" ht="15.75" customHeight="1" outlineLevel="1" x14ac:dyDescent="0.45">
      <c r="C33" s="304" t="s">
        <v>194</v>
      </c>
      <c r="D33" s="235" t="s">
        <v>5</v>
      </c>
      <c r="E33" s="20" t="str">
        <f>IFERROR(E26/D26-1,"N/A")</f>
        <v>N/A</v>
      </c>
      <c r="F33" s="20">
        <f>IFERROR(F26/E26-1,"N/A")</f>
        <v>1.7575630326250424E-2</v>
      </c>
      <c r="G33" s="20">
        <f>IFERROR(G26/F26-1,"N/A")</f>
        <v>2.3524014477713351E-2</v>
      </c>
      <c r="H33" s="20">
        <f>IFERROR(H26/G26-1,"N/A")</f>
        <v>3.6981180176744122E-2</v>
      </c>
      <c r="I33" s="615">
        <f>_xlfn.XLOOKUP(Scenario,$C34:$C36,I34:I36,"N/A",0)</f>
        <v>2.5000000000000001E-2</v>
      </c>
      <c r="J33" s="615">
        <f>_xlfn.XLOOKUP(Scenario,$C34:$C36,J34:J36,"N/A",0)</f>
        <v>2.5000000000000001E-2</v>
      </c>
      <c r="K33" s="615">
        <f>_xlfn.XLOOKUP(Scenario,$C34:$C36,K34:K36,"N/A",0)</f>
        <v>0.02</v>
      </c>
      <c r="L33" s="615">
        <f>_xlfn.XLOOKUP(Scenario,$C34:$C36,L34:L36,"N/A",0)</f>
        <v>0.02</v>
      </c>
      <c r="M33" s="615">
        <f>_xlfn.XLOOKUP(Scenario,$C34:$C36,M34:M36,"N/A",0)</f>
        <v>0.02</v>
      </c>
      <c r="O33" s="656"/>
      <c r="P33" s="656"/>
      <c r="Q33" s="656"/>
      <c r="R33" s="656"/>
      <c r="S33" s="656"/>
      <c r="T33" s="656"/>
      <c r="U33" s="656"/>
      <c r="V33" s="656"/>
      <c r="W33" s="656"/>
      <c r="X33" s="656"/>
      <c r="Y33" s="656"/>
      <c r="Z33" s="656"/>
      <c r="AA33" s="656"/>
      <c r="AC33" s="646"/>
    </row>
    <row r="34" spans="2:29" ht="15.75" customHeight="1" outlineLevel="1" x14ac:dyDescent="0.45">
      <c r="C34" s="294" t="str">
        <f>$C$29</f>
        <v>Upside</v>
      </c>
      <c r="D34" s="235" t="s">
        <v>5</v>
      </c>
      <c r="E34" s="300"/>
      <c r="F34" s="300"/>
      <c r="G34" s="300"/>
      <c r="H34" s="300"/>
      <c r="I34" s="19">
        <v>0.04</v>
      </c>
      <c r="J34" s="19">
        <v>0.04</v>
      </c>
      <c r="K34" s="19">
        <v>3.5000000000000003E-2</v>
      </c>
      <c r="L34" s="19">
        <v>3.5000000000000003E-2</v>
      </c>
      <c r="M34" s="19">
        <v>0.03</v>
      </c>
      <c r="O34" s="656"/>
      <c r="P34" s="657"/>
      <c r="Q34" s="656"/>
      <c r="R34" s="656"/>
      <c r="S34" s="656"/>
      <c r="T34" s="656"/>
      <c r="U34" s="657"/>
      <c r="V34" s="656"/>
      <c r="W34" s="656"/>
      <c r="X34" s="656"/>
      <c r="Y34" s="656"/>
      <c r="Z34" s="656"/>
      <c r="AA34" s="656"/>
      <c r="AC34" s="646"/>
    </row>
    <row r="35" spans="2:29" ht="15.75" customHeight="1" outlineLevel="1" x14ac:dyDescent="0.45">
      <c r="C35" s="294" t="str">
        <f>$C$30</f>
        <v>Base</v>
      </c>
      <c r="D35" s="235" t="s">
        <v>5</v>
      </c>
      <c r="E35" s="300"/>
      <c r="F35" s="300"/>
      <c r="G35" s="300"/>
      <c r="H35" s="300"/>
      <c r="I35" s="19">
        <v>2.5000000000000001E-2</v>
      </c>
      <c r="J35" s="19">
        <v>2.5000000000000001E-2</v>
      </c>
      <c r="K35" s="19">
        <v>0.02</v>
      </c>
      <c r="L35" s="19">
        <v>0.02</v>
      </c>
      <c r="M35" s="19">
        <v>0.02</v>
      </c>
      <c r="O35" s="656"/>
      <c r="P35" s="656"/>
      <c r="Q35" s="656"/>
      <c r="R35" s="656"/>
      <c r="S35" s="656"/>
      <c r="T35" s="656"/>
      <c r="U35" s="656"/>
      <c r="V35" s="656"/>
      <c r="W35" s="656"/>
      <c r="X35" s="656"/>
      <c r="Y35" s="656"/>
      <c r="Z35" s="656"/>
      <c r="AA35" s="656"/>
      <c r="AC35" s="646"/>
    </row>
    <row r="36" spans="2:29" ht="15.75" customHeight="1" outlineLevel="1" x14ac:dyDescent="0.45">
      <c r="C36" s="294" t="str">
        <f>$C$31</f>
        <v>Downside</v>
      </c>
      <c r="D36" s="235" t="s">
        <v>5</v>
      </c>
      <c r="E36" s="300"/>
      <c r="F36" s="300"/>
      <c r="G36" s="300"/>
      <c r="H36" s="300"/>
      <c r="I36" s="19">
        <v>-0.02</v>
      </c>
      <c r="J36" s="19">
        <v>-0.02</v>
      </c>
      <c r="K36" s="19">
        <v>0.03</v>
      </c>
      <c r="L36" s="19">
        <v>0.02</v>
      </c>
      <c r="M36" s="19">
        <v>1.4999999999999999E-2</v>
      </c>
      <c r="O36" s="656"/>
      <c r="P36" s="656"/>
      <c r="Q36" s="656"/>
      <c r="R36" s="656"/>
      <c r="S36" s="657"/>
      <c r="T36" s="657"/>
      <c r="U36" s="656"/>
      <c r="V36" s="656"/>
      <c r="W36" s="656"/>
      <c r="X36" s="656"/>
      <c r="Y36" s="656"/>
      <c r="Z36" s="657"/>
      <c r="AA36" s="656"/>
      <c r="AB36" s="646"/>
      <c r="AC36" s="646"/>
    </row>
    <row r="37" spans="2:29" ht="15.75" customHeight="1" outlineLevel="1" x14ac:dyDescent="0.45">
      <c r="C37" s="6"/>
      <c r="F37" s="18"/>
      <c r="G37" s="18"/>
      <c r="H37" s="18"/>
      <c r="I37" s="18"/>
      <c r="J37" s="18"/>
      <c r="K37" s="18"/>
      <c r="L37" s="18"/>
      <c r="M37" s="18"/>
      <c r="O37" s="656"/>
      <c r="P37" s="657"/>
      <c r="Q37" s="656"/>
      <c r="R37" s="657"/>
      <c r="S37" s="657"/>
      <c r="T37" s="657"/>
      <c r="U37" s="657"/>
      <c r="V37" s="656"/>
      <c r="W37" s="656"/>
      <c r="X37" s="656"/>
      <c r="Y37" s="656"/>
      <c r="Z37" s="657"/>
      <c r="AA37" s="656"/>
      <c r="AB37" s="646"/>
      <c r="AC37" s="646"/>
    </row>
    <row r="38" spans="2:29" ht="15.75" customHeight="1" outlineLevel="1" x14ac:dyDescent="0.45">
      <c r="C38" s="304" t="s">
        <v>198</v>
      </c>
      <c r="D38" s="235" t="s">
        <v>5</v>
      </c>
      <c r="E38" s="579">
        <f>IFERROR(E39/E22,"N/A")</f>
        <v>6.3969193439194577E-2</v>
      </c>
      <c r="F38" s="579">
        <f>IFERROR(F39/F22,"N/A")</f>
        <v>5.5263730659156102E-2</v>
      </c>
      <c r="G38" s="579">
        <f>IFERROR(G39/G22,"N/A")</f>
        <v>5.3363351199615668E-2</v>
      </c>
      <c r="H38" s="579">
        <f>IFERROR(H39/H22,"N/A")</f>
        <v>5.2420205869760539E-2</v>
      </c>
      <c r="I38" s="19">
        <v>5.0999999999999997E-2</v>
      </c>
      <c r="J38" s="19">
        <v>0.05</v>
      </c>
      <c r="K38" s="19">
        <v>4.9000000000000002E-2</v>
      </c>
      <c r="L38" s="19">
        <v>4.8000000000000001E-2</v>
      </c>
      <c r="M38" s="19">
        <v>4.8000000000000001E-2</v>
      </c>
      <c r="O38" s="657"/>
      <c r="P38" s="656"/>
      <c r="Q38" s="656"/>
      <c r="R38" s="656"/>
      <c r="S38" s="656"/>
      <c r="T38" s="656"/>
      <c r="U38" s="656"/>
      <c r="V38" s="656"/>
      <c r="W38" s="656"/>
      <c r="X38" s="656"/>
      <c r="Y38" s="656"/>
      <c r="Z38" s="657"/>
      <c r="AA38" s="656"/>
      <c r="AB38" s="646"/>
      <c r="AC38" s="646"/>
    </row>
    <row r="39" spans="2:29" ht="15.75" customHeight="1" outlineLevel="1" x14ac:dyDescent="0.45">
      <c r="C39" s="304" t="s">
        <v>197</v>
      </c>
      <c r="D39" s="235" t="s">
        <v>126</v>
      </c>
      <c r="E39" s="592">
        <v>19087</v>
      </c>
      <c r="F39" s="592">
        <v>17012</v>
      </c>
      <c r="G39" s="592">
        <v>16995</v>
      </c>
      <c r="H39" s="592">
        <v>17386</v>
      </c>
      <c r="I39" s="616">
        <f>+I38*I22</f>
        <v>17363.846910224995</v>
      </c>
      <c r="J39" s="616">
        <f>+J38*J22</f>
        <v>17501.310698264275</v>
      </c>
      <c r="K39" s="616">
        <f>+K38*K22</f>
        <v>17546.793104506924</v>
      </c>
      <c r="L39" s="616">
        <f>+L38*L22</f>
        <v>17585.066599343856</v>
      </c>
      <c r="M39" s="616">
        <f>+M38*M22</f>
        <v>17990.578235124725</v>
      </c>
      <c r="O39" s="657"/>
      <c r="P39" s="656"/>
      <c r="Q39" s="656"/>
      <c r="R39" s="656"/>
      <c r="S39" s="656"/>
      <c r="T39" s="656"/>
      <c r="U39" s="656"/>
      <c r="V39" s="656"/>
      <c r="W39" s="656"/>
      <c r="X39" s="656"/>
      <c r="Y39" s="656"/>
      <c r="Z39" s="657"/>
      <c r="AA39" s="656"/>
      <c r="AB39" s="646"/>
      <c r="AC39" s="646"/>
    </row>
    <row r="40" spans="2:29" ht="15.75" customHeight="1" outlineLevel="1" x14ac:dyDescent="0.45">
      <c r="C40" s="6"/>
      <c r="E40" s="569"/>
      <c r="F40" s="580"/>
      <c r="G40" s="580"/>
      <c r="H40" s="580"/>
      <c r="I40" s="18"/>
      <c r="J40" s="18"/>
      <c r="K40" s="18"/>
      <c r="L40" s="18"/>
      <c r="M40" s="18"/>
      <c r="O40" s="656"/>
      <c r="P40" s="656"/>
      <c r="Q40" s="656"/>
      <c r="R40" s="656"/>
      <c r="S40" s="656"/>
      <c r="T40" s="656"/>
      <c r="U40" s="656"/>
      <c r="V40" s="656"/>
      <c r="W40" s="656"/>
      <c r="X40" s="656"/>
      <c r="Y40" s="656"/>
      <c r="Z40" s="657"/>
      <c r="AA40" s="656"/>
      <c r="AB40" s="646"/>
      <c r="AC40" s="646"/>
    </row>
    <row r="41" spans="2:29" ht="15.75" customHeight="1" outlineLevel="1" x14ac:dyDescent="0.45">
      <c r="C41" s="304" t="s">
        <v>199</v>
      </c>
      <c r="D41" s="235" t="s">
        <v>126</v>
      </c>
      <c r="E41" s="592">
        <v>6728</v>
      </c>
      <c r="F41" s="592">
        <v>6090</v>
      </c>
      <c r="G41" s="592">
        <v>5680</v>
      </c>
      <c r="H41" s="592">
        <v>6034</v>
      </c>
      <c r="I41" s="616">
        <f>+I42*AVERAGE(H25,I25)</f>
        <v>6142.700249999999</v>
      </c>
      <c r="J41" s="616">
        <f>+J42*AVERAGE(I25,J25)</f>
        <v>6267.3547016249977</v>
      </c>
      <c r="K41" s="616">
        <f>+K42*AVERAGE(J25,K25)</f>
        <v>6392.7017956574982</v>
      </c>
      <c r="L41" s="616">
        <f>+L42*AVERAGE(K25,L25)</f>
        <v>6518.7445660618778</v>
      </c>
      <c r="M41" s="616">
        <f>+M42*AVERAGE(L25,M25)</f>
        <v>6645.4860587725234</v>
      </c>
      <c r="O41" s="657"/>
      <c r="P41" s="657"/>
      <c r="Q41" s="657"/>
      <c r="R41" s="657"/>
      <c r="S41" s="657"/>
      <c r="T41" s="657"/>
      <c r="U41" s="657"/>
      <c r="V41" s="657"/>
      <c r="W41" s="657"/>
      <c r="X41" s="657"/>
      <c r="Y41" s="657"/>
      <c r="Z41" s="657"/>
      <c r="AA41" s="656"/>
      <c r="AB41" s="646"/>
      <c r="AC41" s="646"/>
    </row>
    <row r="42" spans="2:29" ht="15.75" customHeight="1" outlineLevel="1" x14ac:dyDescent="0.45">
      <c r="C42" s="294" t="s">
        <v>200</v>
      </c>
      <c r="D42" s="236" t="s">
        <v>192</v>
      </c>
      <c r="E42" s="39">
        <f>+E41/AVERAGE(680,E25)</f>
        <v>9.821897810218978</v>
      </c>
      <c r="F42" s="39">
        <f>+F41/AVERAGE(E25,F25)</f>
        <v>8.76889848812095</v>
      </c>
      <c r="G42" s="39">
        <f>+G41/AVERAGE(F25,G25)</f>
        <v>8.0911680911680914</v>
      </c>
      <c r="H42" s="39">
        <f>+H41/AVERAGE(G25,H25)</f>
        <v>8.5588652482269509</v>
      </c>
      <c r="I42" s="303">
        <v>8.6999999999999993</v>
      </c>
      <c r="J42" s="303">
        <v>8.85</v>
      </c>
      <c r="K42" s="303">
        <v>9</v>
      </c>
      <c r="L42" s="303">
        <v>9.15</v>
      </c>
      <c r="M42" s="303">
        <v>9.3000000000000007</v>
      </c>
      <c r="O42" s="657"/>
      <c r="P42" s="657"/>
      <c r="Q42" s="657"/>
      <c r="R42" s="657"/>
      <c r="S42" s="657"/>
      <c r="T42" s="657"/>
      <c r="U42" s="657"/>
      <c r="V42" s="657"/>
      <c r="W42" s="657"/>
      <c r="X42" s="657"/>
      <c r="Y42" s="657"/>
      <c r="Z42" s="657"/>
      <c r="AA42" s="656"/>
      <c r="AB42" s="646"/>
      <c r="AC42" s="646"/>
    </row>
    <row r="43" spans="2:29" ht="15.75" customHeight="1" outlineLevel="1" x14ac:dyDescent="0.45">
      <c r="C43" s="6"/>
      <c r="F43" s="18"/>
      <c r="G43" s="18"/>
      <c r="H43" s="349"/>
      <c r="I43" s="18"/>
      <c r="J43" s="18"/>
      <c r="K43" s="18"/>
      <c r="L43" s="349"/>
      <c r="M43" s="18"/>
      <c r="O43" s="657"/>
      <c r="P43" s="657"/>
      <c r="Q43" s="657"/>
      <c r="R43" s="657"/>
      <c r="S43" s="657"/>
      <c r="T43" s="657"/>
      <c r="U43" s="657"/>
      <c r="V43" s="657"/>
      <c r="W43" s="657"/>
      <c r="X43" s="657"/>
      <c r="Y43" s="657"/>
      <c r="Z43" s="657"/>
      <c r="AA43" s="656"/>
      <c r="AB43" s="646"/>
      <c r="AC43" s="646"/>
    </row>
    <row r="44" spans="2:29" ht="15.75" customHeight="1" outlineLevel="1" x14ac:dyDescent="0.45">
      <c r="B44" s="587" t="s">
        <v>441</v>
      </c>
      <c r="C44" s="587"/>
      <c r="D44" s="588"/>
      <c r="E44" s="589">
        <f>$E$20</f>
        <v>42400</v>
      </c>
      <c r="F44" s="589">
        <f>$F$20</f>
        <v>42766</v>
      </c>
      <c r="G44" s="589">
        <f>$G$20</f>
        <v>43131</v>
      </c>
      <c r="H44" s="589">
        <f>$H$20</f>
        <v>43496</v>
      </c>
      <c r="I44" s="589">
        <f>$I$20</f>
        <v>43861</v>
      </c>
      <c r="J44" s="589">
        <f>$J$20</f>
        <v>44227</v>
      </c>
      <c r="K44" s="589">
        <f>$K$20</f>
        <v>44592</v>
      </c>
      <c r="L44" s="589">
        <f>$L$20</f>
        <v>44957</v>
      </c>
      <c r="M44" s="589">
        <f>$M$20</f>
        <v>45322</v>
      </c>
      <c r="O44" s="657"/>
      <c r="P44" s="656"/>
      <c r="Q44" s="659"/>
      <c r="R44" s="656"/>
      <c r="S44" s="659"/>
      <c r="T44" s="659"/>
      <c r="U44" s="659"/>
      <c r="V44" s="659"/>
      <c r="W44" s="656"/>
      <c r="X44" s="659"/>
      <c r="Y44" s="659"/>
      <c r="Z44" s="657"/>
      <c r="AA44" s="656"/>
      <c r="AB44" s="646"/>
      <c r="AC44" s="646"/>
    </row>
    <row r="45" spans="2:29" ht="15.75" customHeight="1" outlineLevel="1" x14ac:dyDescent="0.45">
      <c r="C45" s="304" t="s">
        <v>195</v>
      </c>
      <c r="D45" s="235" t="s">
        <v>126</v>
      </c>
      <c r="E45" s="613">
        <v>123408</v>
      </c>
      <c r="F45" s="613">
        <v>116119</v>
      </c>
      <c r="G45" s="613">
        <v>118068</v>
      </c>
      <c r="H45" s="613">
        <v>120824</v>
      </c>
      <c r="I45" s="614">
        <f>+I49*AVERAGE(H48,I48)</f>
        <v>122374.12855248082</v>
      </c>
      <c r="J45" s="614">
        <f>+J49*AVERAGE(I48,J48)</f>
        <v>131087.16650541747</v>
      </c>
      <c r="K45" s="614">
        <f>+K49*AVERAGE(J48,K48)</f>
        <v>139401.27317858525</v>
      </c>
      <c r="L45" s="614">
        <f>+L49*AVERAGE(K48,L48)</f>
        <v>147887.32568333158</v>
      </c>
      <c r="M45" s="614">
        <f>+M49*AVERAGE(L48,M48)</f>
        <v>155746.53287020157</v>
      </c>
      <c r="O45" s="657"/>
      <c r="P45" s="659"/>
      <c r="Q45" s="659"/>
      <c r="R45" s="659"/>
      <c r="S45" s="659"/>
      <c r="T45" s="659"/>
      <c r="U45" s="659"/>
      <c r="V45" s="659"/>
      <c r="W45" s="659"/>
      <c r="X45" s="659"/>
      <c r="Y45" s="659"/>
      <c r="Z45" s="657"/>
      <c r="AA45" s="656"/>
      <c r="AB45" s="646"/>
      <c r="AC45" s="646"/>
    </row>
    <row r="46" spans="2:29" ht="15.75" customHeight="1" outlineLevel="1" x14ac:dyDescent="0.45">
      <c r="C46" s="236" t="s">
        <v>196</v>
      </c>
      <c r="D46" s="235" t="s">
        <v>5</v>
      </c>
      <c r="E46" s="485" t="str">
        <f>IFERROR(E45/D45-1,"N/A")</f>
        <v>N/A</v>
      </c>
      <c r="F46" s="485">
        <f t="shared" ref="F46" si="8">IFERROR(F45/E45-1,"N/A")</f>
        <v>-5.9064242188512917E-2</v>
      </c>
      <c r="G46" s="485">
        <f t="shared" ref="G46" si="9">IFERROR(G45/F45-1,"N/A")</f>
        <v>1.6784505550340612E-2</v>
      </c>
      <c r="H46" s="485">
        <f t="shared" ref="H46" si="10">IFERROR(H45/G45-1,"N/A")</f>
        <v>2.3342480604397364E-2</v>
      </c>
      <c r="I46" s="301">
        <f t="shared" ref="I46" si="11">IFERROR(I45/H45-1,"N/A")</f>
        <v>1.2829641068668574E-2</v>
      </c>
      <c r="J46" s="301">
        <f t="shared" ref="J46" si="12">IFERROR(J45/I45-1,"N/A")</f>
        <v>7.1200000000000152E-2</v>
      </c>
      <c r="K46" s="301">
        <f t="shared" ref="K46" si="13">IFERROR(K45/J45-1,"N/A")</f>
        <v>6.342426108374366E-2</v>
      </c>
      <c r="L46" s="301">
        <f t="shared" ref="L46" si="14">IFERROR(L45/K45-1,"N/A")</f>
        <v>6.0874999999999568E-2</v>
      </c>
      <c r="M46" s="301">
        <f t="shared" ref="M46" si="15">IFERROR(M45/L45-1,"N/A")</f>
        <v>5.3143209876543196E-2</v>
      </c>
      <c r="O46" s="657"/>
      <c r="P46" s="659"/>
      <c r="Q46" s="659"/>
      <c r="R46" s="659"/>
      <c r="S46" s="659"/>
      <c r="T46" s="659"/>
      <c r="U46" s="659"/>
      <c r="V46" s="659"/>
      <c r="W46" s="659"/>
      <c r="X46" s="659"/>
      <c r="Y46" s="659"/>
      <c r="Z46" s="657"/>
      <c r="AA46" s="656"/>
      <c r="AB46" s="646"/>
      <c r="AC46" s="646"/>
    </row>
    <row r="47" spans="2:29" ht="15.75" customHeight="1" outlineLevel="1" x14ac:dyDescent="0.45">
      <c r="C47" s="294"/>
      <c r="D47" s="235"/>
      <c r="E47" s="578"/>
      <c r="F47" s="302"/>
      <c r="G47" s="302"/>
      <c r="H47" s="302"/>
      <c r="I47" s="18"/>
      <c r="J47" s="18"/>
      <c r="K47" s="18"/>
      <c r="L47" s="18"/>
      <c r="M47" s="18"/>
      <c r="O47" s="656"/>
      <c r="P47" s="659"/>
      <c r="Q47" s="659"/>
      <c r="R47" s="659"/>
      <c r="S47" s="659"/>
      <c r="T47" s="659"/>
      <c r="U47" s="659"/>
      <c r="V47" s="659"/>
      <c r="W47" s="659"/>
      <c r="X47" s="659"/>
      <c r="Y47" s="659"/>
      <c r="Z47" s="657"/>
      <c r="AA47" s="656"/>
      <c r="AB47" s="646"/>
      <c r="AC47" s="646"/>
    </row>
    <row r="48" spans="2:29" ht="15.75" customHeight="1" outlineLevel="1" x14ac:dyDescent="0.45">
      <c r="C48" s="304" t="s">
        <v>189</v>
      </c>
      <c r="D48" s="236" t="s">
        <v>190</v>
      </c>
      <c r="E48" s="591">
        <v>372.19799999999998</v>
      </c>
      <c r="F48" s="591">
        <v>376.76900000000001</v>
      </c>
      <c r="G48" s="591">
        <v>373.28100000000001</v>
      </c>
      <c r="H48" s="591">
        <v>344.21</v>
      </c>
      <c r="I48" s="18">
        <f>+H48*(1+I51)</f>
        <v>354.53629999999998</v>
      </c>
      <c r="J48" s="18">
        <f t="shared" ref="J48:M48" si="16">+I48*(1+J51)</f>
        <v>365.17238900000001</v>
      </c>
      <c r="K48" s="18">
        <f t="shared" si="16"/>
        <v>374.30169872499999</v>
      </c>
      <c r="L48" s="18">
        <f t="shared" si="16"/>
        <v>383.65924119312496</v>
      </c>
      <c r="M48" s="18">
        <f t="shared" si="16"/>
        <v>391.33242601698748</v>
      </c>
      <c r="O48" s="657"/>
      <c r="P48" s="659"/>
      <c r="Q48" s="659"/>
      <c r="R48" s="659"/>
      <c r="S48" s="659"/>
      <c r="T48" s="659"/>
      <c r="U48" s="659"/>
      <c r="V48" s="659"/>
      <c r="W48" s="660"/>
      <c r="X48" s="659"/>
      <c r="Y48" s="659"/>
      <c r="Z48" s="657"/>
      <c r="AA48" s="656"/>
      <c r="AB48" s="646"/>
      <c r="AC48" s="646"/>
    </row>
    <row r="49" spans="3:29" ht="15.75" customHeight="1" outlineLevel="1" x14ac:dyDescent="0.45">
      <c r="C49" s="304" t="s">
        <v>191</v>
      </c>
      <c r="D49" s="236" t="s">
        <v>192</v>
      </c>
      <c r="E49" s="39">
        <f>IFERROR(E45/AVERAGE(367.63,E48),"N/A")</f>
        <v>333.61267754126635</v>
      </c>
      <c r="F49" s="39">
        <f>IFERROR(F45/AVERAGE(E48,F48),"N/A")</f>
        <v>310.07774708364991</v>
      </c>
      <c r="G49" s="39">
        <f t="shared" ref="G49" si="17">IFERROR(G45/AVERAGE(F48,G48),"N/A")</f>
        <v>314.82701153256454</v>
      </c>
      <c r="H49" s="39">
        <f t="shared" ref="H49" si="18">IFERROR(H45/AVERAGE(G48,H48),"N/A")</f>
        <v>336.79586224774948</v>
      </c>
      <c r="I49" s="39">
        <f>+H49*(1+I56)</f>
        <v>350.26769673765949</v>
      </c>
      <c r="J49" s="39">
        <f t="shared" ref="J49:M49" si="19">+I49*(1+J56)</f>
        <v>364.2784046071659</v>
      </c>
      <c r="K49" s="39">
        <f t="shared" si="19"/>
        <v>377.02814876841666</v>
      </c>
      <c r="L49" s="39">
        <f t="shared" si="19"/>
        <v>390.22413397531119</v>
      </c>
      <c r="M49" s="39">
        <f t="shared" si="19"/>
        <v>401.93085799457054</v>
      </c>
      <c r="O49" s="657"/>
      <c r="P49" s="659"/>
      <c r="Q49" s="661"/>
      <c r="R49" s="659"/>
      <c r="S49" s="659"/>
      <c r="T49" s="659"/>
      <c r="U49" s="659"/>
      <c r="V49" s="659"/>
      <c r="W49" s="659"/>
      <c r="X49" s="659"/>
      <c r="Y49" s="659"/>
      <c r="Z49" s="657"/>
      <c r="AA49" s="656"/>
      <c r="AB49" s="646"/>
      <c r="AC49" s="646"/>
    </row>
    <row r="50" spans="3:29" ht="15.75" customHeight="1" outlineLevel="1" x14ac:dyDescent="0.45">
      <c r="C50" s="6"/>
      <c r="F50" s="18"/>
      <c r="G50" s="18"/>
      <c r="H50" s="18"/>
      <c r="I50" s="18"/>
      <c r="J50" s="18"/>
      <c r="K50" s="18"/>
      <c r="L50" s="18"/>
      <c r="M50" s="18"/>
      <c r="O50" s="657"/>
      <c r="P50" s="659"/>
      <c r="Q50" s="659"/>
      <c r="R50" s="659"/>
      <c r="S50" s="659"/>
      <c r="T50" s="659"/>
      <c r="U50" s="659"/>
      <c r="V50" s="659"/>
      <c r="W50" s="659"/>
      <c r="X50" s="659"/>
      <c r="Y50" s="659"/>
      <c r="Z50" s="657"/>
      <c r="AA50" s="656"/>
      <c r="AB50" s="646"/>
      <c r="AC50" s="646"/>
    </row>
    <row r="51" spans="3:29" ht="15.75" customHeight="1" outlineLevel="1" x14ac:dyDescent="0.45">
      <c r="C51" s="304" t="s">
        <v>193</v>
      </c>
      <c r="D51" s="235" t="s">
        <v>5</v>
      </c>
      <c r="E51" s="20" t="str">
        <f>IFERROR(E48/D48-1,"N/A")</f>
        <v>N/A</v>
      </c>
      <c r="F51" s="20">
        <f>IFERROR(F48/E48-1,"N/A")</f>
        <v>1.2281097695312715E-2</v>
      </c>
      <c r="G51" s="20">
        <f>IFERROR(G48/F48-1,"N/A")</f>
        <v>-9.2576618564690349E-3</v>
      </c>
      <c r="H51" s="20">
        <f>IFERROR(H48/G48-1,"N/A")</f>
        <v>-7.7879667060471891E-2</v>
      </c>
      <c r="I51" s="615">
        <f>_xlfn.XLOOKUP(Scenario,$C52:$C54,I52:I54,"N/A",0)</f>
        <v>0.03</v>
      </c>
      <c r="J51" s="615">
        <f>_xlfn.XLOOKUP(Scenario,$C52:$C54,J52:J54,"N/A",0)</f>
        <v>0.03</v>
      </c>
      <c r="K51" s="615">
        <f>_xlfn.XLOOKUP(Scenario,$C52:$C54,K52:K54,"N/A",0)</f>
        <v>2.5000000000000001E-2</v>
      </c>
      <c r="L51" s="615">
        <f>_xlfn.XLOOKUP(Scenario,$C52:$C54,L52:L54,"N/A",0)</f>
        <v>2.5000000000000001E-2</v>
      </c>
      <c r="M51" s="615">
        <f>_xlfn.XLOOKUP(Scenario,$C52:$C54,M52:M54,"N/A",0)</f>
        <v>0.02</v>
      </c>
      <c r="O51" s="656"/>
      <c r="P51" s="659"/>
      <c r="Q51" s="659"/>
      <c r="R51" s="659"/>
      <c r="S51" s="659"/>
      <c r="T51" s="659"/>
      <c r="U51" s="659"/>
      <c r="V51" s="659"/>
      <c r="W51" s="659"/>
      <c r="X51" s="659"/>
      <c r="Y51" s="659"/>
      <c r="Z51" s="657"/>
      <c r="AA51" s="656"/>
      <c r="AB51" s="646"/>
      <c r="AC51" s="646"/>
    </row>
    <row r="52" spans="3:29" ht="15.75" customHeight="1" outlineLevel="1" x14ac:dyDescent="0.45">
      <c r="C52" s="232" t="s">
        <v>173</v>
      </c>
      <c r="D52" s="235" t="s">
        <v>5</v>
      </c>
      <c r="E52" s="300"/>
      <c r="F52" s="300"/>
      <c r="G52" s="300"/>
      <c r="H52" s="300"/>
      <c r="I52" s="19">
        <v>0.05</v>
      </c>
      <c r="J52" s="19">
        <v>0.05</v>
      </c>
      <c r="K52" s="19">
        <v>4.4999999999999998E-2</v>
      </c>
      <c r="L52" s="19">
        <v>4.4999999999999998E-2</v>
      </c>
      <c r="M52" s="19">
        <v>0.04</v>
      </c>
      <c r="O52" s="657"/>
      <c r="P52" s="659"/>
      <c r="Q52" s="659"/>
      <c r="R52" s="659"/>
      <c r="S52" s="659"/>
      <c r="T52" s="659"/>
      <c r="U52" s="659"/>
      <c r="V52" s="659"/>
      <c r="W52" s="659"/>
      <c r="X52" s="659"/>
      <c r="Y52" s="659"/>
      <c r="Z52" s="657"/>
      <c r="AA52" s="656"/>
      <c r="AB52" s="646"/>
      <c r="AC52" s="646"/>
    </row>
    <row r="53" spans="3:29" ht="15.75" customHeight="1" outlineLevel="1" x14ac:dyDescent="0.45">
      <c r="C53" s="232" t="s">
        <v>172</v>
      </c>
      <c r="D53" s="235" t="s">
        <v>5</v>
      </c>
      <c r="E53" s="300"/>
      <c r="F53" s="300"/>
      <c r="G53" s="300"/>
      <c r="H53" s="300"/>
      <c r="I53" s="19">
        <v>0.03</v>
      </c>
      <c r="J53" s="19">
        <v>0.03</v>
      </c>
      <c r="K53" s="19">
        <v>2.5000000000000001E-2</v>
      </c>
      <c r="L53" s="19">
        <v>2.5000000000000001E-2</v>
      </c>
      <c r="M53" s="19">
        <v>0.02</v>
      </c>
      <c r="O53" s="657"/>
      <c r="P53" s="659"/>
      <c r="Q53" s="659"/>
      <c r="R53" s="659"/>
      <c r="S53" s="659"/>
      <c r="T53" s="659"/>
      <c r="U53" s="659"/>
      <c r="V53" s="659"/>
      <c r="W53" s="659"/>
      <c r="X53" s="659"/>
      <c r="Y53" s="659"/>
      <c r="Z53" s="657"/>
      <c r="AA53" s="656"/>
      <c r="AB53" s="646"/>
      <c r="AC53" s="646"/>
    </row>
    <row r="54" spans="3:29" ht="15.75" customHeight="1" outlineLevel="1" x14ac:dyDescent="0.45">
      <c r="C54" s="232" t="s">
        <v>174</v>
      </c>
      <c r="D54" s="235" t="s">
        <v>5</v>
      </c>
      <c r="E54" s="300"/>
      <c r="F54" s="300"/>
      <c r="G54" s="300"/>
      <c r="H54" s="300"/>
      <c r="I54" s="19">
        <v>5.0000000000000001E-3</v>
      </c>
      <c r="J54" s="19">
        <v>5.0000000000000001E-3</v>
      </c>
      <c r="K54" s="19">
        <v>0.02</v>
      </c>
      <c r="L54" s="19">
        <v>1.4999999999999999E-2</v>
      </c>
      <c r="M54" s="19">
        <v>0.01</v>
      </c>
      <c r="O54" s="657"/>
      <c r="P54" s="659"/>
      <c r="Q54" s="659"/>
      <c r="R54" s="659"/>
      <c r="S54" s="659"/>
      <c r="T54" s="659"/>
      <c r="U54" s="659"/>
      <c r="V54" s="659"/>
      <c r="W54" s="659"/>
      <c r="X54" s="659"/>
      <c r="Y54" s="659"/>
      <c r="Z54" s="657"/>
      <c r="AA54" s="656"/>
      <c r="AB54" s="646"/>
      <c r="AC54" s="646"/>
    </row>
    <row r="55" spans="3:29" ht="15.75" customHeight="1" outlineLevel="1" x14ac:dyDescent="0.45">
      <c r="C55" s="232"/>
      <c r="D55" s="235"/>
      <c r="E55" s="300"/>
      <c r="F55" s="300"/>
      <c r="G55" s="300"/>
      <c r="H55" s="300"/>
      <c r="I55" s="18"/>
      <c r="J55" s="18"/>
      <c r="K55" s="18"/>
      <c r="L55" s="18"/>
      <c r="M55" s="18"/>
      <c r="O55" s="657"/>
      <c r="P55" s="659"/>
      <c r="Q55" s="659"/>
      <c r="R55" s="659"/>
      <c r="S55" s="659"/>
      <c r="T55" s="659"/>
      <c r="U55" s="661"/>
      <c r="V55" s="659"/>
      <c r="W55" s="659"/>
      <c r="X55" s="659"/>
      <c r="Y55" s="661"/>
      <c r="Z55" s="657"/>
      <c r="AA55" s="656"/>
      <c r="AB55" s="646"/>
      <c r="AC55" s="646"/>
    </row>
    <row r="56" spans="3:29" ht="15.75" customHeight="1" outlineLevel="1" x14ac:dyDescent="0.45">
      <c r="C56" s="304" t="s">
        <v>194</v>
      </c>
      <c r="D56" s="235" t="s">
        <v>5</v>
      </c>
      <c r="E56" s="20" t="str">
        <f>IFERROR(E49/D49-1,"N/A")</f>
        <v>N/A</v>
      </c>
      <c r="F56" s="20">
        <f>IFERROR(F49/E49-1,"N/A")</f>
        <v>-7.0545671798414422E-2</v>
      </c>
      <c r="G56" s="20">
        <f>IFERROR(G49/F49-1,"N/A")</f>
        <v>1.5316366600256037E-2</v>
      </c>
      <c r="H56" s="20">
        <f>IFERROR(H49/G49-1,"N/A")</f>
        <v>6.9780704674105021E-2</v>
      </c>
      <c r="I56" s="615">
        <f>_xlfn.XLOOKUP(Scenario,$C57:$C59,I57:I59,"N/A",0)</f>
        <v>0.04</v>
      </c>
      <c r="J56" s="615">
        <f>_xlfn.XLOOKUP(Scenario,$C57:$C59,J57:J59,"N/A",0)</f>
        <v>0.04</v>
      </c>
      <c r="K56" s="615">
        <f>_xlfn.XLOOKUP(Scenario,$C57:$C59,K57:K59,"N/A",0)</f>
        <v>3.5000000000000003E-2</v>
      </c>
      <c r="L56" s="615">
        <f>_xlfn.XLOOKUP(Scenario,$C57:$C59,L57:L59,"N/A",0)</f>
        <v>3.5000000000000003E-2</v>
      </c>
      <c r="M56" s="615">
        <f>_xlfn.XLOOKUP(Scenario,$C57:$C59,M57:M59,"N/A",0)</f>
        <v>0.03</v>
      </c>
      <c r="O56" s="657"/>
      <c r="P56" s="659"/>
      <c r="Q56" s="659"/>
      <c r="R56" s="659"/>
      <c r="S56" s="659"/>
      <c r="T56" s="659"/>
      <c r="U56" s="659"/>
      <c r="V56" s="659"/>
      <c r="W56" s="659"/>
      <c r="X56" s="659"/>
      <c r="Y56" s="659"/>
      <c r="Z56" s="657"/>
      <c r="AA56" s="656"/>
      <c r="AB56" s="646"/>
      <c r="AC56" s="646"/>
    </row>
    <row r="57" spans="3:29" ht="15.75" customHeight="1" outlineLevel="1" x14ac:dyDescent="0.45">
      <c r="C57" s="294" t="str">
        <f>$C$29</f>
        <v>Upside</v>
      </c>
      <c r="D57" s="235" t="s">
        <v>5</v>
      </c>
      <c r="E57" s="300"/>
      <c r="F57" s="300"/>
      <c r="G57" s="300"/>
      <c r="H57" s="300"/>
      <c r="I57" s="19">
        <v>0.06</v>
      </c>
      <c r="J57" s="19">
        <v>5.5E-2</v>
      </c>
      <c r="K57" s="19">
        <v>0.05</v>
      </c>
      <c r="L57" s="19">
        <v>4.4999999999999998E-2</v>
      </c>
      <c r="M57" s="19">
        <v>0.04</v>
      </c>
      <c r="O57" s="657"/>
      <c r="P57" s="659"/>
      <c r="Q57" s="659"/>
      <c r="R57" s="659"/>
      <c r="S57" s="659"/>
      <c r="T57" s="659"/>
      <c r="U57" s="659"/>
      <c r="V57" s="659"/>
      <c r="W57" s="659"/>
      <c r="X57" s="659"/>
      <c r="Y57" s="659"/>
      <c r="Z57" s="657"/>
      <c r="AA57" s="656"/>
      <c r="AB57" s="646"/>
      <c r="AC57" s="646"/>
    </row>
    <row r="58" spans="3:29" ht="15.75" customHeight="1" outlineLevel="1" x14ac:dyDescent="0.45">
      <c r="C58" s="294" t="str">
        <f>$C$30</f>
        <v>Base</v>
      </c>
      <c r="D58" s="235" t="s">
        <v>5</v>
      </c>
      <c r="E58" s="300"/>
      <c r="F58" s="300"/>
      <c r="G58" s="300"/>
      <c r="H58" s="300"/>
      <c r="I58" s="19">
        <v>0.04</v>
      </c>
      <c r="J58" s="19">
        <v>0.04</v>
      </c>
      <c r="K58" s="19">
        <v>3.5000000000000003E-2</v>
      </c>
      <c r="L58" s="19">
        <v>3.5000000000000003E-2</v>
      </c>
      <c r="M58" s="19">
        <v>0.03</v>
      </c>
      <c r="O58" s="657"/>
      <c r="P58" s="659"/>
      <c r="Q58" s="659"/>
      <c r="R58" s="659"/>
      <c r="S58" s="659"/>
      <c r="T58" s="659"/>
      <c r="U58" s="659"/>
      <c r="V58" s="659"/>
      <c r="W58" s="660"/>
      <c r="X58" s="659"/>
      <c r="Y58" s="659"/>
      <c r="Z58" s="657"/>
      <c r="AA58" s="656"/>
      <c r="AB58" s="646"/>
      <c r="AC58" s="646"/>
    </row>
    <row r="59" spans="3:29" ht="15.75" customHeight="1" outlineLevel="1" x14ac:dyDescent="0.45">
      <c r="C59" s="294" t="str">
        <f>$C$31</f>
        <v>Downside</v>
      </c>
      <c r="D59" s="235" t="s">
        <v>5</v>
      </c>
      <c r="E59" s="300"/>
      <c r="F59" s="300"/>
      <c r="G59" s="300"/>
      <c r="H59" s="300"/>
      <c r="I59" s="19">
        <v>-0.02</v>
      </c>
      <c r="J59" s="19">
        <v>-0.02</v>
      </c>
      <c r="K59" s="19">
        <v>0.04</v>
      </c>
      <c r="L59" s="19">
        <v>0.03</v>
      </c>
      <c r="M59" s="19">
        <v>0.02</v>
      </c>
      <c r="O59" s="657"/>
      <c r="P59" s="659"/>
      <c r="Q59" s="659"/>
      <c r="R59" s="659"/>
      <c r="S59" s="659"/>
      <c r="T59" s="659"/>
      <c r="U59" s="659"/>
      <c r="V59" s="659"/>
      <c r="W59" s="659"/>
      <c r="X59" s="659"/>
      <c r="Y59" s="659"/>
      <c r="Z59" s="657"/>
      <c r="AA59" s="656"/>
      <c r="AB59" s="646"/>
      <c r="AC59" s="646"/>
    </row>
    <row r="60" spans="3:29" ht="15.75" customHeight="1" outlineLevel="1" x14ac:dyDescent="0.45">
      <c r="C60" s="6"/>
      <c r="F60" s="18"/>
      <c r="G60" s="18"/>
      <c r="H60" s="18"/>
      <c r="I60" s="18"/>
      <c r="J60" s="18"/>
      <c r="K60" s="18"/>
      <c r="L60" s="18"/>
      <c r="M60" s="18"/>
      <c r="O60" s="657"/>
      <c r="P60" s="662"/>
      <c r="Q60" s="663"/>
      <c r="R60" s="663"/>
      <c r="S60" s="663"/>
      <c r="T60" s="663"/>
      <c r="U60" s="663"/>
      <c r="V60" s="663"/>
      <c r="W60" s="663"/>
      <c r="X60" s="663"/>
      <c r="Y60" s="663"/>
      <c r="Z60" s="657"/>
      <c r="AA60" s="656"/>
      <c r="AB60" s="646"/>
      <c r="AC60" s="646"/>
    </row>
    <row r="61" spans="3:29" ht="15.75" customHeight="1" outlineLevel="1" x14ac:dyDescent="0.45">
      <c r="C61" s="304" t="s">
        <v>197</v>
      </c>
      <c r="D61" s="235" t="s">
        <v>126</v>
      </c>
      <c r="E61" s="592">
        <v>5346</v>
      </c>
      <c r="F61" s="592">
        <v>5737</v>
      </c>
      <c r="G61" s="592">
        <v>5229</v>
      </c>
      <c r="H61" s="592">
        <v>4883</v>
      </c>
      <c r="I61" s="616">
        <f>+I62*I45</f>
        <v>4772.591013546752</v>
      </c>
      <c r="J61" s="616">
        <f>+J62*J45</f>
        <v>4981.3123272058638</v>
      </c>
      <c r="K61" s="616">
        <f>+K62*K45</f>
        <v>5297.2483807862391</v>
      </c>
      <c r="L61" s="616">
        <f>+L62*L45</f>
        <v>5619.7183759666004</v>
      </c>
      <c r="M61" s="616">
        <f>+M62*M45</f>
        <v>5918.3682490676592</v>
      </c>
      <c r="O61" s="657"/>
      <c r="P61" s="657"/>
      <c r="Q61" s="657"/>
      <c r="R61" s="664"/>
      <c r="S61" s="664"/>
      <c r="T61" s="664"/>
      <c r="U61" s="664"/>
      <c r="V61" s="664"/>
      <c r="W61" s="664"/>
      <c r="X61" s="664"/>
      <c r="Y61" s="664"/>
      <c r="Z61" s="657"/>
      <c r="AA61" s="656"/>
      <c r="AB61" s="646"/>
      <c r="AC61" s="646"/>
    </row>
    <row r="62" spans="3:29" ht="15.75" customHeight="1" outlineLevel="1" x14ac:dyDescent="0.45">
      <c r="C62" s="304" t="s">
        <v>198</v>
      </c>
      <c r="D62" s="235" t="s">
        <v>5</v>
      </c>
      <c r="E62" s="579">
        <f>IFERROR(E61/E45,"N/A")</f>
        <v>4.3319719953325557E-2</v>
      </c>
      <c r="F62" s="579">
        <f>IFERROR(F61/F45,"N/A")</f>
        <v>4.94062125922545E-2</v>
      </c>
      <c r="G62" s="579">
        <f>IFERROR(G61/G45,"N/A")</f>
        <v>4.4288037402175018E-2</v>
      </c>
      <c r="H62" s="579">
        <f>IFERROR(H61/H45,"N/A")</f>
        <v>4.0414156127921604E-2</v>
      </c>
      <c r="I62" s="19">
        <v>3.9E-2</v>
      </c>
      <c r="J62" s="19">
        <v>3.7999999999999999E-2</v>
      </c>
      <c r="K62" s="19">
        <v>3.7999999999999999E-2</v>
      </c>
      <c r="L62" s="19">
        <v>3.7999999999999999E-2</v>
      </c>
      <c r="M62" s="19">
        <v>3.7999999999999999E-2</v>
      </c>
      <c r="O62" s="657"/>
      <c r="P62" s="665"/>
      <c r="Q62" s="657"/>
      <c r="R62" s="664"/>
      <c r="S62" s="664"/>
      <c r="T62" s="664"/>
      <c r="U62" s="664"/>
      <c r="V62" s="664"/>
      <c r="W62" s="664"/>
      <c r="X62" s="664"/>
      <c r="Y62" s="664"/>
      <c r="Z62" s="657"/>
      <c r="AA62" s="656"/>
      <c r="AB62" s="646"/>
      <c r="AC62" s="646"/>
    </row>
    <row r="63" spans="3:29" ht="15.75" customHeight="1" outlineLevel="1" x14ac:dyDescent="0.45">
      <c r="C63" s="6"/>
      <c r="E63" s="569"/>
      <c r="F63" s="580"/>
      <c r="G63" s="580"/>
      <c r="H63" s="580"/>
      <c r="I63" s="18"/>
      <c r="J63" s="18"/>
      <c r="K63" s="18"/>
      <c r="L63" s="18"/>
      <c r="M63" s="18"/>
      <c r="O63" s="657"/>
      <c r="P63" s="657"/>
      <c r="Q63" s="657"/>
      <c r="R63" s="664"/>
      <c r="S63" s="664"/>
      <c r="T63" s="664"/>
      <c r="U63" s="664"/>
      <c r="V63" s="664"/>
      <c r="W63" s="664"/>
      <c r="X63" s="664"/>
      <c r="Y63" s="664"/>
      <c r="Z63" s="657"/>
      <c r="AA63" s="656"/>
      <c r="AB63" s="646"/>
      <c r="AC63" s="646"/>
    </row>
    <row r="64" spans="3:29" ht="15.75" customHeight="1" outlineLevel="1" x14ac:dyDescent="0.45">
      <c r="C64" s="304" t="s">
        <v>199</v>
      </c>
      <c r="D64" s="235" t="s">
        <v>126</v>
      </c>
      <c r="E64" s="592">
        <v>2930</v>
      </c>
      <c r="F64" s="592">
        <v>2697</v>
      </c>
      <c r="G64" s="592">
        <v>2607</v>
      </c>
      <c r="H64" s="592">
        <v>2661</v>
      </c>
      <c r="I64" s="616">
        <f>+I65*AVERAGE(H48,I48)</f>
        <v>2725.1105699999998</v>
      </c>
      <c r="J64" s="616">
        <f>+J65*AVERAGE(I48,J48)</f>
        <v>2968.7983421250001</v>
      </c>
      <c r="K64" s="616">
        <f>+K65*AVERAGE(J48,K48)</f>
        <v>3235.1991337968752</v>
      </c>
      <c r="L64" s="616">
        <f>+L65*AVERAGE(K48,L48)</f>
        <v>3505.5693471213281</v>
      </c>
      <c r="M64" s="616">
        <f>+M65*AVERAGE(L48,M48)</f>
        <v>3778.0843776492979</v>
      </c>
      <c r="O64" s="657"/>
      <c r="P64" s="656"/>
      <c r="Q64" s="656"/>
      <c r="R64" s="656"/>
      <c r="S64" s="656"/>
      <c r="T64" s="656"/>
      <c r="U64" s="656"/>
      <c r="V64" s="656"/>
      <c r="W64" s="656"/>
      <c r="X64" s="664"/>
      <c r="Y64" s="664"/>
      <c r="Z64" s="657"/>
      <c r="AA64" s="656"/>
      <c r="AB64" s="646"/>
      <c r="AC64" s="646"/>
    </row>
    <row r="65" spans="2:29" ht="15.75" customHeight="1" outlineLevel="1" x14ac:dyDescent="0.45">
      <c r="C65" s="294" t="s">
        <v>200</v>
      </c>
      <c r="D65" s="236" t="s">
        <v>192</v>
      </c>
      <c r="E65" s="39">
        <f>+E64/AVERAGE(680,E48)</f>
        <v>5.5692939921953863</v>
      </c>
      <c r="F65" s="39">
        <f>+F64/AVERAGE(E48,F48)</f>
        <v>7.201919443713809</v>
      </c>
      <c r="G65" s="39">
        <f>+G64/AVERAGE(F48,G48)</f>
        <v>6.9515365642290519</v>
      </c>
      <c r="H65" s="39">
        <f>+H64/AVERAGE(G48,H48)</f>
        <v>7.4175146447830009</v>
      </c>
      <c r="I65" s="303">
        <v>7.8</v>
      </c>
      <c r="J65" s="303">
        <v>8.25</v>
      </c>
      <c r="K65" s="303">
        <v>8.75</v>
      </c>
      <c r="L65" s="303">
        <v>9.25</v>
      </c>
      <c r="M65" s="303">
        <v>9.75</v>
      </c>
      <c r="O65" s="657"/>
      <c r="P65" s="656"/>
      <c r="Q65" s="656"/>
      <c r="R65" s="656"/>
      <c r="S65" s="656"/>
      <c r="T65" s="656"/>
      <c r="U65" s="656"/>
      <c r="V65" s="656"/>
      <c r="W65" s="656"/>
      <c r="X65" s="664"/>
      <c r="Y65" s="664"/>
      <c r="Z65" s="657"/>
      <c r="AA65" s="656"/>
      <c r="AB65" s="646"/>
      <c r="AC65" s="646"/>
    </row>
    <row r="66" spans="2:29" ht="15.75" customHeight="1" outlineLevel="1" x14ac:dyDescent="0.45">
      <c r="C66" s="6"/>
      <c r="F66" s="18"/>
      <c r="G66" s="18"/>
      <c r="H66" s="349"/>
      <c r="I66" s="18"/>
      <c r="J66" s="18"/>
      <c r="K66" s="18"/>
      <c r="L66" s="349"/>
      <c r="M66" s="18"/>
      <c r="O66" s="657"/>
      <c r="P66" s="656"/>
      <c r="Q66" s="656"/>
      <c r="R66" s="656"/>
      <c r="S66" s="656"/>
      <c r="T66" s="656"/>
      <c r="U66" s="656"/>
      <c r="V66" s="656"/>
      <c r="W66" s="656"/>
      <c r="X66" s="664"/>
      <c r="Y66" s="664"/>
      <c r="Z66" s="657"/>
      <c r="AA66" s="656"/>
      <c r="AB66" s="646"/>
      <c r="AC66" s="646"/>
    </row>
    <row r="67" spans="2:29" ht="15.75" customHeight="1" outlineLevel="1" x14ac:dyDescent="0.45">
      <c r="B67" s="587" t="s">
        <v>442</v>
      </c>
      <c r="C67" s="587"/>
      <c r="D67" s="588"/>
      <c r="E67" s="589">
        <f>$E$20</f>
        <v>42400</v>
      </c>
      <c r="F67" s="589">
        <f>$F$20</f>
        <v>42766</v>
      </c>
      <c r="G67" s="589">
        <f>$G$20</f>
        <v>43131</v>
      </c>
      <c r="H67" s="589">
        <f>$H$20</f>
        <v>43496</v>
      </c>
      <c r="I67" s="589">
        <f>$I$20</f>
        <v>43861</v>
      </c>
      <c r="J67" s="589">
        <f>$J$20</f>
        <v>44227</v>
      </c>
      <c r="K67" s="589">
        <f>$K$20</f>
        <v>44592</v>
      </c>
      <c r="L67" s="589">
        <f>$L$20</f>
        <v>44957</v>
      </c>
      <c r="M67" s="589">
        <f>$M$20</f>
        <v>45322</v>
      </c>
      <c r="O67" s="657"/>
      <c r="P67" s="656"/>
      <c r="Q67" s="659"/>
      <c r="R67" s="659"/>
      <c r="S67" s="659"/>
      <c r="T67" s="659"/>
      <c r="U67" s="659"/>
      <c r="V67" s="659"/>
      <c r="W67" s="659"/>
      <c r="X67" s="664"/>
      <c r="Y67" s="664"/>
      <c r="Z67" s="657"/>
      <c r="AA67" s="656"/>
      <c r="AB67" s="646"/>
      <c r="AC67" s="646"/>
    </row>
    <row r="68" spans="2:29" ht="15.75" customHeight="1" outlineLevel="1" x14ac:dyDescent="0.45">
      <c r="C68" s="304" t="s">
        <v>195</v>
      </c>
      <c r="D68" s="235" t="s">
        <v>126</v>
      </c>
      <c r="E68" s="613">
        <v>56828</v>
      </c>
      <c r="F68" s="613">
        <v>57365</v>
      </c>
      <c r="G68" s="613">
        <v>59216</v>
      </c>
      <c r="H68" s="613">
        <v>57839</v>
      </c>
      <c r="I68" s="614">
        <f>+I72*AVERAGE(H71,I71)</f>
        <v>59496.955360743057</v>
      </c>
      <c r="J68" s="614">
        <f t="shared" ref="J68" si="20">+J72*AVERAGE(I71,J71)</f>
        <v>61289.30114098543</v>
      </c>
      <c r="K68" s="614">
        <f t="shared" ref="K68" si="21">+K72*AVERAGE(J71,K71)</f>
        <v>62796.327107055782</v>
      </c>
      <c r="L68" s="614">
        <f t="shared" ref="L68" si="22">+L72*AVERAGE(K71,L71)</f>
        <v>64276.372612564242</v>
      </c>
      <c r="M68" s="614">
        <f t="shared" ref="M68" si="23">+M72*AVERAGE(L71,M71)</f>
        <v>65436.239756357958</v>
      </c>
      <c r="O68" s="657"/>
      <c r="P68" s="659"/>
      <c r="Q68" s="659"/>
      <c r="R68" s="659"/>
      <c r="S68" s="659"/>
      <c r="T68" s="659"/>
      <c r="U68" s="659"/>
      <c r="V68" s="659"/>
      <c r="W68" s="659"/>
      <c r="X68" s="664"/>
      <c r="Y68" s="664"/>
      <c r="Z68" s="657"/>
      <c r="AA68" s="656"/>
      <c r="AB68" s="646"/>
      <c r="AC68" s="646"/>
    </row>
    <row r="69" spans="2:29" ht="15.75" customHeight="1" outlineLevel="1" x14ac:dyDescent="0.45">
      <c r="C69" s="236" t="s">
        <v>196</v>
      </c>
      <c r="D69" s="235" t="s">
        <v>5</v>
      </c>
      <c r="E69" s="485" t="str">
        <f>IFERROR(E68/D68-1,"N/A")</f>
        <v>N/A</v>
      </c>
      <c r="F69" s="485">
        <f t="shared" ref="F69" si="24">IFERROR(F68/E68-1,"N/A")</f>
        <v>9.4495671148024929E-3</v>
      </c>
      <c r="G69" s="485">
        <f t="shared" ref="G69" si="25">IFERROR(G68/F68-1,"N/A")</f>
        <v>3.226706179726313E-2</v>
      </c>
      <c r="H69" s="485">
        <f t="shared" ref="H69" si="26">IFERROR(H68/G68-1,"N/A")</f>
        <v>-2.3253850310726798E-2</v>
      </c>
      <c r="I69" s="301">
        <f t="shared" ref="I69" si="27">IFERROR(I68/H68-1,"N/A")</f>
        <v>2.8665007360830108E-2</v>
      </c>
      <c r="J69" s="301">
        <f t="shared" ref="J69" si="28">IFERROR(J68/I68-1,"N/A")</f>
        <v>3.0124999999999735E-2</v>
      </c>
      <c r="K69" s="301">
        <f t="shared" ref="K69" si="29">IFERROR(K68/J68-1,"N/A")</f>
        <v>2.4588728179551378E-2</v>
      </c>
      <c r="L69" s="301">
        <f t="shared" ref="L69" si="30">IFERROR(L68/K68-1,"N/A")</f>
        <v>2.3568982035928165E-2</v>
      </c>
      <c r="M69" s="301">
        <f t="shared" ref="M69" si="31">IFERROR(M68/L68-1,"N/A")</f>
        <v>1.8044999999999867E-2</v>
      </c>
      <c r="O69" s="657"/>
      <c r="P69" s="656"/>
      <c r="Q69" s="659"/>
      <c r="R69" s="659"/>
      <c r="S69" s="659"/>
      <c r="T69" s="659"/>
      <c r="U69" s="659"/>
      <c r="V69" s="659"/>
      <c r="W69" s="659"/>
      <c r="X69" s="657"/>
      <c r="Y69" s="657"/>
      <c r="Z69" s="657"/>
      <c r="AA69" s="656"/>
      <c r="AB69" s="646"/>
      <c r="AC69" s="646"/>
    </row>
    <row r="70" spans="2:29" ht="15.75" customHeight="1" outlineLevel="1" x14ac:dyDescent="0.45">
      <c r="C70" s="294"/>
      <c r="D70" s="235"/>
      <c r="E70" s="578"/>
      <c r="F70" s="302"/>
      <c r="G70" s="302"/>
      <c r="H70" s="302"/>
      <c r="I70" s="18"/>
      <c r="J70" s="18"/>
      <c r="K70" s="18"/>
      <c r="L70" s="18"/>
      <c r="M70" s="18"/>
      <c r="O70" s="657"/>
      <c r="P70" s="659"/>
      <c r="Q70" s="659"/>
      <c r="R70" s="659"/>
      <c r="S70" s="659"/>
      <c r="T70" s="659"/>
      <c r="U70" s="659"/>
      <c r="V70" s="659"/>
      <c r="W70" s="659"/>
      <c r="X70" s="657"/>
      <c r="Y70" s="657"/>
      <c r="Z70" s="657"/>
      <c r="AA70" s="656"/>
      <c r="AB70" s="646"/>
      <c r="AC70" s="646"/>
    </row>
    <row r="71" spans="2:29" ht="15.75" customHeight="1" outlineLevel="1" x14ac:dyDescent="0.45">
      <c r="C71" s="304" t="s">
        <v>189</v>
      </c>
      <c r="D71" s="236" t="s">
        <v>190</v>
      </c>
      <c r="E71" s="591">
        <v>87.552000000000007</v>
      </c>
      <c r="F71" s="591">
        <v>88.376000000000005</v>
      </c>
      <c r="G71" s="591">
        <v>80.067999999999998</v>
      </c>
      <c r="H71" s="591">
        <v>80.239999999999995</v>
      </c>
      <c r="I71" s="18">
        <f>+H71*(1+I74)</f>
        <v>80.641199999999984</v>
      </c>
      <c r="J71" s="18">
        <f t="shared" ref="J71" si="32">+I71*(1+J74)</f>
        <v>81.044405999999981</v>
      </c>
      <c r="K71" s="18">
        <f t="shared" ref="K71" si="33">+J71*(1+K74)</f>
        <v>81.368583623999982</v>
      </c>
      <c r="L71" s="18">
        <f t="shared" ref="L71" si="34">+K71*(1+L74)</f>
        <v>81.612689374871977</v>
      </c>
      <c r="M71" s="18">
        <f t="shared" ref="M71" si="35">+L71*(1+M74)</f>
        <v>81.857527442996584</v>
      </c>
      <c r="O71" s="657"/>
      <c r="P71" s="666"/>
      <c r="Q71" s="659"/>
      <c r="R71" s="660"/>
      <c r="S71" s="656"/>
      <c r="T71" s="656"/>
      <c r="U71" s="659"/>
      <c r="V71" s="659"/>
      <c r="W71" s="659"/>
      <c r="X71" s="657"/>
      <c r="Y71" s="657"/>
      <c r="Z71" s="657"/>
      <c r="AA71" s="656"/>
      <c r="AB71" s="646"/>
      <c r="AC71" s="646"/>
    </row>
    <row r="72" spans="2:29" ht="15.75" customHeight="1" outlineLevel="1" x14ac:dyDescent="0.45">
      <c r="C72" s="304" t="s">
        <v>191</v>
      </c>
      <c r="D72" s="236" t="s">
        <v>192</v>
      </c>
      <c r="E72" s="39">
        <f>IFERROR(E68/AVERAGE(86.51,E71),"N/A")</f>
        <v>652.96273741540369</v>
      </c>
      <c r="F72" s="39">
        <f>IFERROR(F68/AVERAGE(E71,F71),"N/A")</f>
        <v>652.14178527579463</v>
      </c>
      <c r="G72" s="39">
        <f t="shared" ref="G72" si="36">IFERROR(G68/AVERAGE(F71,G71),"N/A")</f>
        <v>703.09420341478472</v>
      </c>
      <c r="H72" s="39">
        <f t="shared" ref="H72" si="37">IFERROR(H68/AVERAGE(G71,H71),"N/A")</f>
        <v>721.59842303565642</v>
      </c>
      <c r="I72" s="39">
        <f>+H72*(1+I79)</f>
        <v>739.63838361154774</v>
      </c>
      <c r="J72" s="39">
        <f t="shared" ref="J72" si="38">+I72*(1+J79)</f>
        <v>758.12934320183638</v>
      </c>
      <c r="K72" s="39">
        <f t="shared" ref="K72" si="39">+J72*(1+K79)</f>
        <v>773.29193006587309</v>
      </c>
      <c r="L72" s="39">
        <f t="shared" ref="L72" si="40">+K72*(1+L79)</f>
        <v>788.75776866719059</v>
      </c>
      <c r="M72" s="39">
        <f t="shared" ref="M72" si="41">+L72*(1+M79)</f>
        <v>800.5891351971984</v>
      </c>
      <c r="O72" s="657"/>
      <c r="P72" s="660"/>
      <c r="Q72" s="659"/>
      <c r="R72" s="659"/>
      <c r="S72" s="659"/>
      <c r="T72" s="659"/>
      <c r="U72" s="659"/>
      <c r="V72" s="659"/>
      <c r="W72" s="659"/>
      <c r="X72" s="657"/>
      <c r="Y72" s="657"/>
      <c r="Z72" s="657"/>
      <c r="AA72" s="656"/>
      <c r="AB72" s="646"/>
      <c r="AC72" s="646"/>
    </row>
    <row r="73" spans="2:29" ht="15.75" customHeight="1" outlineLevel="1" x14ac:dyDescent="0.45">
      <c r="C73" s="6"/>
      <c r="F73" s="18"/>
      <c r="G73" s="18"/>
      <c r="H73" s="18"/>
      <c r="I73" s="18"/>
      <c r="J73" s="18"/>
      <c r="K73" s="18"/>
      <c r="L73" s="18"/>
      <c r="M73" s="18"/>
      <c r="O73" s="657"/>
      <c r="P73" s="660"/>
      <c r="Q73" s="659"/>
      <c r="R73" s="659"/>
      <c r="S73" s="659"/>
      <c r="T73" s="659"/>
      <c r="U73" s="659"/>
      <c r="V73" s="659"/>
      <c r="W73" s="659"/>
      <c r="X73" s="656"/>
      <c r="Y73" s="656"/>
      <c r="Z73" s="656"/>
      <c r="AA73" s="656"/>
      <c r="AB73" s="646"/>
      <c r="AC73" s="646"/>
    </row>
    <row r="74" spans="2:29" ht="15.75" customHeight="1" outlineLevel="1" x14ac:dyDescent="0.45">
      <c r="C74" s="304" t="s">
        <v>193</v>
      </c>
      <c r="D74" s="235" t="s">
        <v>5</v>
      </c>
      <c r="E74" s="20" t="str">
        <f>IFERROR(E71/D71-1,"N/A")</f>
        <v>N/A</v>
      </c>
      <c r="F74" s="20">
        <f>IFERROR(F71/E71-1,"N/A")</f>
        <v>9.4115497076023846E-3</v>
      </c>
      <c r="G74" s="20">
        <f t="shared" ref="G74" si="42">IFERROR(G71/F71-1,"N/A")</f>
        <v>-9.4007422829727627E-2</v>
      </c>
      <c r="H74" s="20">
        <f t="shared" ref="H74" si="43">IFERROR(H71/G71-1,"N/A")</f>
        <v>2.1481740520556958E-3</v>
      </c>
      <c r="I74" s="615">
        <f>_xlfn.XLOOKUP(Scenario,$C75:$C77,I75:I77,"N/A",0)</f>
        <v>5.0000000000000001E-3</v>
      </c>
      <c r="J74" s="615">
        <f>_xlfn.XLOOKUP(Scenario,$C75:$C77,J75:J77,"N/A",0)</f>
        <v>5.0000000000000001E-3</v>
      </c>
      <c r="K74" s="615">
        <f>_xlfn.XLOOKUP(Scenario,$C75:$C77,K75:K77,"N/A",0)</f>
        <v>4.0000000000000001E-3</v>
      </c>
      <c r="L74" s="615">
        <f>_xlfn.XLOOKUP(Scenario,$C75:$C77,L75:L77,"N/A",0)</f>
        <v>3.0000000000000001E-3</v>
      </c>
      <c r="M74" s="615">
        <f>_xlfn.XLOOKUP(Scenario,$C75:$C77,M75:M77,"N/A",0)</f>
        <v>3.0000000000000001E-3</v>
      </c>
      <c r="O74" s="657"/>
      <c r="P74" s="660"/>
      <c r="Q74" s="659"/>
      <c r="R74" s="659"/>
      <c r="S74" s="659"/>
      <c r="T74" s="659"/>
      <c r="U74" s="659"/>
      <c r="V74" s="659"/>
      <c r="W74" s="659"/>
      <c r="X74" s="656"/>
      <c r="Y74" s="656"/>
      <c r="Z74" s="656"/>
      <c r="AA74" s="656"/>
      <c r="AB74" s="646"/>
      <c r="AC74" s="646"/>
    </row>
    <row r="75" spans="2:29" ht="15.75" customHeight="1" outlineLevel="1" x14ac:dyDescent="0.45">
      <c r="C75" s="232" t="s">
        <v>173</v>
      </c>
      <c r="D75" s="235" t="s">
        <v>5</v>
      </c>
      <c r="E75" s="300"/>
      <c r="F75" s="300"/>
      <c r="G75" s="300"/>
      <c r="H75" s="300"/>
      <c r="I75" s="19">
        <v>8.9999999999999993E-3</v>
      </c>
      <c r="J75" s="19">
        <v>7.0000000000000001E-3</v>
      </c>
      <c r="K75" s="19">
        <v>6.0000000000000001E-3</v>
      </c>
      <c r="L75" s="19">
        <v>5.0000000000000001E-3</v>
      </c>
      <c r="M75" s="19">
        <v>4.0000000000000001E-3</v>
      </c>
      <c r="O75" s="657"/>
      <c r="P75" s="660"/>
      <c r="Q75" s="659"/>
      <c r="R75" s="660"/>
      <c r="S75" s="656"/>
      <c r="T75" s="659"/>
      <c r="U75" s="659"/>
      <c r="V75" s="659"/>
      <c r="W75" s="659"/>
      <c r="X75" s="656"/>
      <c r="Y75" s="656"/>
      <c r="Z75" s="656"/>
      <c r="AA75" s="656"/>
      <c r="AB75" s="646"/>
      <c r="AC75" s="646"/>
    </row>
    <row r="76" spans="2:29" ht="15.75" customHeight="1" outlineLevel="1" x14ac:dyDescent="0.45">
      <c r="C76" s="232" t="s">
        <v>172</v>
      </c>
      <c r="D76" s="235" t="s">
        <v>5</v>
      </c>
      <c r="E76" s="300"/>
      <c r="F76" s="300"/>
      <c r="G76" s="300"/>
      <c r="H76" s="300"/>
      <c r="I76" s="19">
        <v>5.0000000000000001E-3</v>
      </c>
      <c r="J76" s="19">
        <v>5.0000000000000001E-3</v>
      </c>
      <c r="K76" s="19">
        <v>4.0000000000000001E-3</v>
      </c>
      <c r="L76" s="19">
        <v>3.0000000000000001E-3</v>
      </c>
      <c r="M76" s="19">
        <v>3.0000000000000001E-3</v>
      </c>
      <c r="O76" s="656"/>
      <c r="P76" s="660"/>
      <c r="Q76" s="659"/>
      <c r="R76" s="659"/>
      <c r="S76" s="659"/>
      <c r="T76" s="659"/>
      <c r="U76" s="659"/>
      <c r="V76" s="659"/>
      <c r="W76" s="659"/>
      <c r="X76" s="656"/>
      <c r="Y76" s="656"/>
      <c r="Z76" s="656"/>
      <c r="AA76" s="656"/>
      <c r="AB76" s="646"/>
      <c r="AC76" s="646"/>
    </row>
    <row r="77" spans="2:29" ht="15.75" customHeight="1" outlineLevel="1" x14ac:dyDescent="0.45">
      <c r="C77" s="232" t="s">
        <v>174</v>
      </c>
      <c r="D77" s="235" t="s">
        <v>5</v>
      </c>
      <c r="E77" s="300"/>
      <c r="F77" s="300"/>
      <c r="G77" s="300"/>
      <c r="H77" s="300"/>
      <c r="I77" s="19">
        <v>-5.0000000000000001E-3</v>
      </c>
      <c r="J77" s="19">
        <v>-5.0000000000000001E-3</v>
      </c>
      <c r="K77" s="19">
        <v>8.0000000000000002E-3</v>
      </c>
      <c r="L77" s="19">
        <v>4.0000000000000001E-3</v>
      </c>
      <c r="M77" s="19">
        <v>2E-3</v>
      </c>
      <c r="O77" s="656"/>
      <c r="P77" s="660"/>
      <c r="Q77" s="659"/>
      <c r="R77" s="659"/>
      <c r="S77" s="659"/>
      <c r="T77" s="659"/>
      <c r="U77" s="659"/>
      <c r="V77" s="659"/>
      <c r="W77" s="659"/>
      <c r="X77" s="656"/>
      <c r="Y77" s="656"/>
      <c r="Z77" s="656"/>
      <c r="AA77" s="656"/>
      <c r="AB77" s="646"/>
      <c r="AC77" s="646"/>
    </row>
    <row r="78" spans="2:29" ht="15.75" customHeight="1" outlineLevel="1" x14ac:dyDescent="0.45">
      <c r="C78" s="232"/>
      <c r="D78" s="235"/>
      <c r="E78" s="300"/>
      <c r="F78" s="300"/>
      <c r="G78" s="300"/>
      <c r="H78" s="300"/>
      <c r="I78" s="18"/>
      <c r="J78" s="18"/>
      <c r="K78" s="18"/>
      <c r="L78" s="18"/>
      <c r="M78" s="18"/>
      <c r="O78" s="656"/>
      <c r="P78" s="660"/>
      <c r="Q78" s="659"/>
      <c r="R78" s="659"/>
      <c r="S78" s="659"/>
      <c r="T78" s="659"/>
      <c r="U78" s="659"/>
      <c r="V78" s="659"/>
      <c r="W78" s="659"/>
      <c r="X78" s="656"/>
      <c r="Y78" s="656"/>
      <c r="Z78" s="656"/>
      <c r="AA78" s="656"/>
      <c r="AB78" s="646"/>
      <c r="AC78" s="646"/>
    </row>
    <row r="79" spans="2:29" ht="15.75" customHeight="1" outlineLevel="1" x14ac:dyDescent="0.45">
      <c r="C79" s="304" t="s">
        <v>194</v>
      </c>
      <c r="D79" s="235" t="s">
        <v>5</v>
      </c>
      <c r="E79" s="20" t="str">
        <f>IFERROR(E72/D72-1,"N/A")</f>
        <v>N/A</v>
      </c>
      <c r="F79" s="20">
        <f>IFERROR(F72/E72-1,"N/A")</f>
        <v>-1.2572725709565358E-3</v>
      </c>
      <c r="G79" s="20">
        <f>IFERROR(G72/F72-1,"N/A")</f>
        <v>7.8130890075448933E-2</v>
      </c>
      <c r="H79" s="20">
        <f>IFERROR(H72/G72-1,"N/A")</f>
        <v>2.6318265078847825E-2</v>
      </c>
      <c r="I79" s="615">
        <f>_xlfn.XLOOKUP(Scenario,$C80:$C82,I80:I82,"N/A",0)</f>
        <v>2.5000000000000001E-2</v>
      </c>
      <c r="J79" s="615">
        <f>_xlfn.XLOOKUP(Scenario,$C80:$C82,J80:J82,"N/A",0)</f>
        <v>2.5000000000000001E-2</v>
      </c>
      <c r="K79" s="615">
        <f>_xlfn.XLOOKUP(Scenario,$C80:$C82,K80:K82,"N/A",0)</f>
        <v>0.02</v>
      </c>
      <c r="L79" s="615">
        <f>_xlfn.XLOOKUP(Scenario,$C80:$C82,L80:L82,"N/A",0)</f>
        <v>0.02</v>
      </c>
      <c r="M79" s="615">
        <f>_xlfn.XLOOKUP(Scenario,$C80:$C82,M80:M82,"N/A",0)</f>
        <v>1.4999999999999999E-2</v>
      </c>
      <c r="O79" s="656"/>
      <c r="P79" s="660"/>
      <c r="Q79" s="659"/>
      <c r="R79" s="659"/>
      <c r="S79" s="659"/>
      <c r="T79" s="659"/>
      <c r="U79" s="659"/>
      <c r="V79" s="659"/>
      <c r="W79" s="659"/>
      <c r="X79" s="656"/>
      <c r="Y79" s="656"/>
      <c r="Z79" s="656"/>
      <c r="AA79" s="656"/>
      <c r="AB79" s="646"/>
      <c r="AC79" s="646"/>
    </row>
    <row r="80" spans="2:29" ht="15.75" customHeight="1" outlineLevel="1" x14ac:dyDescent="0.45">
      <c r="C80" s="294" t="str">
        <f>$C$29</f>
        <v>Upside</v>
      </c>
      <c r="D80" s="235" t="s">
        <v>5</v>
      </c>
      <c r="E80" s="300"/>
      <c r="F80" s="300"/>
      <c r="G80" s="300"/>
      <c r="H80" s="300"/>
      <c r="I80" s="19">
        <v>3.5000000000000003E-2</v>
      </c>
      <c r="J80" s="19">
        <v>3.5000000000000003E-2</v>
      </c>
      <c r="K80" s="19">
        <v>0.03</v>
      </c>
      <c r="L80" s="19">
        <v>0.03</v>
      </c>
      <c r="M80" s="19">
        <v>2.5000000000000001E-2</v>
      </c>
      <c r="O80" s="656"/>
      <c r="P80" s="656"/>
      <c r="Q80" s="656"/>
      <c r="R80" s="656"/>
      <c r="S80" s="656"/>
      <c r="T80" s="656"/>
      <c r="U80" s="656"/>
      <c r="V80" s="656"/>
      <c r="W80" s="656"/>
      <c r="X80" s="656"/>
      <c r="Y80" s="656"/>
      <c r="Z80" s="656"/>
      <c r="AA80" s="656"/>
      <c r="AB80" s="646"/>
      <c r="AC80" s="646"/>
    </row>
    <row r="81" spans="2:29" ht="15.75" customHeight="1" outlineLevel="1" x14ac:dyDescent="0.45">
      <c r="C81" s="294" t="str">
        <f>$C$30</f>
        <v>Base</v>
      </c>
      <c r="D81" s="235" t="s">
        <v>5</v>
      </c>
      <c r="E81" s="300"/>
      <c r="F81" s="300"/>
      <c r="G81" s="300"/>
      <c r="H81" s="300"/>
      <c r="I81" s="19">
        <v>2.5000000000000001E-2</v>
      </c>
      <c r="J81" s="19">
        <v>2.5000000000000001E-2</v>
      </c>
      <c r="K81" s="19">
        <v>0.02</v>
      </c>
      <c r="L81" s="19">
        <v>0.02</v>
      </c>
      <c r="M81" s="19">
        <v>1.4999999999999999E-2</v>
      </c>
      <c r="O81" s="656"/>
      <c r="P81" s="656"/>
      <c r="Q81" s="656"/>
      <c r="R81" s="656"/>
      <c r="S81" s="656"/>
      <c r="T81" s="656"/>
      <c r="U81" s="656"/>
      <c r="V81" s="656"/>
      <c r="W81" s="656"/>
      <c r="X81" s="656"/>
      <c r="Y81" s="656"/>
      <c r="Z81" s="656"/>
      <c r="AA81" s="656"/>
      <c r="AB81" s="646"/>
      <c r="AC81" s="646"/>
    </row>
    <row r="82" spans="2:29" ht="15.75" customHeight="1" outlineLevel="1" x14ac:dyDescent="0.45">
      <c r="C82" s="294" t="str">
        <f>$C$31</f>
        <v>Downside</v>
      </c>
      <c r="D82" s="235" t="s">
        <v>5</v>
      </c>
      <c r="E82" s="300"/>
      <c r="F82" s="300"/>
      <c r="G82" s="300"/>
      <c r="H82" s="300"/>
      <c r="I82" s="19">
        <v>-0.02</v>
      </c>
      <c r="J82" s="19">
        <v>-0.02</v>
      </c>
      <c r="K82" s="19">
        <v>0.03</v>
      </c>
      <c r="L82" s="19">
        <v>0.02</v>
      </c>
      <c r="M82" s="19">
        <v>0.01</v>
      </c>
      <c r="O82" s="657"/>
      <c r="P82" s="657"/>
      <c r="Q82" s="657"/>
      <c r="R82" s="657"/>
      <c r="S82" s="657"/>
      <c r="T82" s="657"/>
      <c r="U82" s="657"/>
      <c r="V82" s="657"/>
      <c r="W82" s="657"/>
      <c r="X82" s="657"/>
      <c r="Y82" s="657"/>
      <c r="Z82" s="656"/>
      <c r="AA82" s="656"/>
      <c r="AB82" s="646"/>
      <c r="AC82" s="646"/>
    </row>
    <row r="83" spans="2:29" ht="15.75" customHeight="1" outlineLevel="1" x14ac:dyDescent="0.45">
      <c r="C83" s="6"/>
      <c r="F83" s="18"/>
      <c r="G83" s="18"/>
      <c r="H83" s="18"/>
      <c r="I83" s="18"/>
      <c r="J83" s="18"/>
      <c r="K83" s="18"/>
      <c r="L83" s="18"/>
      <c r="M83" s="18"/>
      <c r="O83" s="656"/>
      <c r="P83" s="656"/>
      <c r="Q83" s="656"/>
      <c r="R83" s="656"/>
      <c r="S83" s="656"/>
      <c r="T83" s="656"/>
      <c r="U83" s="656"/>
      <c r="V83" s="656"/>
      <c r="W83" s="656"/>
      <c r="X83" s="656"/>
      <c r="Y83" s="656"/>
      <c r="Z83" s="656"/>
      <c r="AA83" s="656"/>
      <c r="AB83" s="646"/>
      <c r="AC83" s="646"/>
    </row>
    <row r="84" spans="2:29" ht="15.75" customHeight="1" outlineLevel="1" x14ac:dyDescent="0.45">
      <c r="C84" s="304" t="s">
        <v>197</v>
      </c>
      <c r="D84" s="235" t="s">
        <v>126</v>
      </c>
      <c r="E84" s="592">
        <v>1820</v>
      </c>
      <c r="F84" s="592">
        <v>1628</v>
      </c>
      <c r="G84" s="592">
        <v>915</v>
      </c>
      <c r="H84" s="592">
        <v>1520</v>
      </c>
      <c r="I84" s="616">
        <f>+I85*I68</f>
        <v>1546.9208393793194</v>
      </c>
      <c r="J84" s="616">
        <f t="shared" ref="J84:M84" si="44">+J85*J68</f>
        <v>1593.521829665621</v>
      </c>
      <c r="K84" s="616">
        <f t="shared" si="44"/>
        <v>1569.9081776763946</v>
      </c>
      <c r="L84" s="616">
        <f t="shared" si="44"/>
        <v>1606.9093153141062</v>
      </c>
      <c r="M84" s="616">
        <f t="shared" si="44"/>
        <v>1635.9059939089491</v>
      </c>
      <c r="O84" s="656"/>
      <c r="P84" s="656"/>
      <c r="Q84" s="656"/>
      <c r="R84" s="656"/>
      <c r="S84" s="656"/>
      <c r="T84" s="656"/>
      <c r="U84" s="656"/>
      <c r="V84" s="656"/>
      <c r="W84" s="656"/>
      <c r="X84" s="656"/>
      <c r="Y84" s="656"/>
      <c r="Z84" s="656"/>
      <c r="AA84" s="656"/>
      <c r="AB84" s="646"/>
      <c r="AC84" s="646"/>
    </row>
    <row r="85" spans="2:29" ht="15.75" customHeight="1" outlineLevel="1" x14ac:dyDescent="0.45">
      <c r="C85" s="304" t="s">
        <v>198</v>
      </c>
      <c r="D85" s="235" t="s">
        <v>5</v>
      </c>
      <c r="E85" s="579">
        <f>IFERROR(E84/E68,"N/A")</f>
        <v>3.2026465826705146E-2</v>
      </c>
      <c r="F85" s="579">
        <f>IFERROR(F84/F68,"N/A")</f>
        <v>2.8379674017257911E-2</v>
      </c>
      <c r="G85" s="579">
        <f>IFERROR(G84/G68,"N/A")</f>
        <v>1.5451904890570117E-2</v>
      </c>
      <c r="H85" s="579">
        <f>IFERROR(H84/H68,"N/A")</f>
        <v>2.6279845778799771E-2</v>
      </c>
      <c r="I85" s="19">
        <v>2.5999999999999999E-2</v>
      </c>
      <c r="J85" s="19">
        <v>2.5999999999999999E-2</v>
      </c>
      <c r="K85" s="19">
        <v>2.5000000000000001E-2</v>
      </c>
      <c r="L85" s="19">
        <v>2.5000000000000001E-2</v>
      </c>
      <c r="M85" s="19">
        <v>2.5000000000000001E-2</v>
      </c>
      <c r="O85" s="656"/>
      <c r="P85" s="656"/>
      <c r="Q85" s="656"/>
      <c r="R85" s="656"/>
      <c r="S85" s="656"/>
      <c r="T85" s="656"/>
      <c r="U85" s="656"/>
      <c r="V85" s="656"/>
      <c r="W85" s="656"/>
      <c r="X85" s="656"/>
      <c r="Y85" s="656"/>
      <c r="Z85" s="656"/>
      <c r="AA85" s="656"/>
      <c r="AB85" s="646"/>
      <c r="AC85" s="646"/>
    </row>
    <row r="86" spans="2:29" ht="15.75" customHeight="1" outlineLevel="1" x14ac:dyDescent="0.45">
      <c r="C86" s="6"/>
      <c r="E86" s="569"/>
      <c r="F86" s="580"/>
      <c r="G86" s="580"/>
      <c r="H86" s="580"/>
      <c r="I86" s="18"/>
      <c r="J86" s="18"/>
      <c r="K86" s="18"/>
      <c r="L86" s="18"/>
      <c r="M86" s="18"/>
      <c r="AC86" s="646"/>
    </row>
    <row r="87" spans="2:29" ht="15.75" customHeight="1" outlineLevel="1" x14ac:dyDescent="0.45">
      <c r="C87" s="304" t="s">
        <v>199</v>
      </c>
      <c r="D87" s="235" t="s">
        <v>126</v>
      </c>
      <c r="E87" s="592">
        <v>695</v>
      </c>
      <c r="F87" s="592">
        <v>639</v>
      </c>
      <c r="G87" s="592">
        <v>626</v>
      </c>
      <c r="H87" s="592">
        <v>450</v>
      </c>
      <c r="I87" s="616">
        <f>+I88*AVERAGE(H71,I71)</f>
        <v>470.5775099999999</v>
      </c>
      <c r="J87" s="616">
        <f t="shared" ref="J87" si="45">+J88*AVERAGE(I71,J71)</f>
        <v>493.14109829999984</v>
      </c>
      <c r="K87" s="616">
        <f t="shared" ref="K87" si="46">+K88*AVERAGE(J71,K71)</f>
        <v>515.66124205619985</v>
      </c>
      <c r="L87" s="616">
        <f t="shared" ref="L87" si="47">+L88*AVERAGE(K71,L71)</f>
        <v>537.83820089627739</v>
      </c>
      <c r="M87" s="616">
        <f t="shared" ref="M87" si="48">+M88*AVERAGE(L71,M71)</f>
        <v>560.70284368528917</v>
      </c>
      <c r="AC87" s="646"/>
    </row>
    <row r="88" spans="2:29" ht="15.75" customHeight="1" outlineLevel="1" x14ac:dyDescent="0.45">
      <c r="C88" s="294" t="s">
        <v>200</v>
      </c>
      <c r="D88" s="236" t="s">
        <v>192</v>
      </c>
      <c r="E88" s="39">
        <f>+E87/AVERAGE(680,E71)</f>
        <v>1.8109522221295755</v>
      </c>
      <c r="F88" s="39">
        <f>+F87/AVERAGE(E71,F71)</f>
        <v>7.26433540994043</v>
      </c>
      <c r="G88" s="39">
        <f>+G87/AVERAGE(F71,G71)</f>
        <v>7.4327372895442991</v>
      </c>
      <c r="H88" s="39">
        <f>+H87/AVERAGE(G71,H71)</f>
        <v>5.6141926790927466</v>
      </c>
      <c r="I88" s="303">
        <v>5.85</v>
      </c>
      <c r="J88" s="303">
        <v>6.1</v>
      </c>
      <c r="K88" s="303">
        <v>6.35</v>
      </c>
      <c r="L88" s="303">
        <v>6.6</v>
      </c>
      <c r="M88" s="303">
        <v>6.86</v>
      </c>
      <c r="AC88" s="646"/>
    </row>
    <row r="89" spans="2:29" ht="15.75" customHeight="1" x14ac:dyDescent="0.45">
      <c r="C89" s="6"/>
      <c r="F89" s="18"/>
      <c r="G89" s="18"/>
      <c r="H89" s="349"/>
      <c r="I89" s="18"/>
      <c r="J89" s="18"/>
      <c r="K89" s="18"/>
      <c r="L89" s="349"/>
      <c r="M89" s="18"/>
      <c r="AC89" s="646"/>
    </row>
    <row r="90" spans="2:29" ht="15.75" customHeight="1" x14ac:dyDescent="0.45">
      <c r="B90" s="11"/>
      <c r="C90" s="11"/>
      <c r="D90" s="12"/>
      <c r="E90" s="13" t="str">
        <f>$E$19</f>
        <v>Historical:</v>
      </c>
      <c r="F90" s="13"/>
      <c r="G90" s="13"/>
      <c r="H90" s="14"/>
      <c r="I90" s="13" t="str">
        <f>$I$19</f>
        <v>Projected:</v>
      </c>
      <c r="J90" s="13"/>
      <c r="K90" s="13"/>
      <c r="L90" s="13"/>
      <c r="M90" s="13"/>
      <c r="AC90" s="646"/>
    </row>
    <row r="91" spans="2:29" ht="15.75" customHeight="1" x14ac:dyDescent="0.45">
      <c r="B91" s="233" t="s">
        <v>296</v>
      </c>
      <c r="C91" s="233"/>
      <c r="D91" s="234" t="str">
        <f>$D$20</f>
        <v>Units:</v>
      </c>
      <c r="E91" s="16">
        <f>$E$20</f>
        <v>42400</v>
      </c>
      <c r="F91" s="16">
        <f>$F$20</f>
        <v>42766</v>
      </c>
      <c r="G91" s="16">
        <f>$G$20</f>
        <v>43131</v>
      </c>
      <c r="H91" s="17">
        <f>$H$20</f>
        <v>43496</v>
      </c>
      <c r="I91" s="16">
        <f>$I$20</f>
        <v>43861</v>
      </c>
      <c r="J91" s="16">
        <f>$J$20</f>
        <v>44227</v>
      </c>
      <c r="K91" s="16">
        <f>$K$20</f>
        <v>44592</v>
      </c>
      <c r="L91" s="16">
        <f>$L$20</f>
        <v>44957</v>
      </c>
      <c r="M91" s="16">
        <f>$M$20</f>
        <v>45322</v>
      </c>
      <c r="AC91" s="646"/>
    </row>
    <row r="92" spans="2:29" ht="15.75" customHeight="1" outlineLevel="1" x14ac:dyDescent="0.45">
      <c r="B92" s="313" t="s">
        <v>443</v>
      </c>
      <c r="C92" s="313"/>
      <c r="D92" s="313"/>
      <c r="E92" s="313"/>
      <c r="F92" s="313"/>
      <c r="G92" s="313"/>
      <c r="H92" s="313"/>
      <c r="I92" s="313"/>
      <c r="J92" s="313"/>
      <c r="K92" s="313"/>
      <c r="L92" s="313"/>
      <c r="M92" s="313"/>
      <c r="AC92" s="646"/>
    </row>
    <row r="93" spans="2:29" ht="15.75" customHeight="1" outlineLevel="1" x14ac:dyDescent="0.45">
      <c r="B93" s="6"/>
      <c r="C93" s="305" t="s">
        <v>204</v>
      </c>
      <c r="D93" s="235" t="s">
        <v>126</v>
      </c>
      <c r="E93" s="309">
        <v>2148</v>
      </c>
      <c r="F93" s="309">
        <v>1613</v>
      </c>
      <c r="G93" s="309">
        <v>2702</v>
      </c>
      <c r="H93" s="309">
        <v>1832</v>
      </c>
      <c r="I93" s="327">
        <f>+I94*I150</f>
        <v>2203.466346492999</v>
      </c>
      <c r="J93" s="327">
        <f>+J94*J150</f>
        <v>2288.1340743159153</v>
      </c>
      <c r="K93" s="327">
        <f>+K94*K150</f>
        <v>2363.7454529553493</v>
      </c>
      <c r="L93" s="327">
        <f>+L94*L150</f>
        <v>2440.5783101594861</v>
      </c>
      <c r="M93" s="327">
        <f>+M94*M150</f>
        <v>2514.2628475535093</v>
      </c>
      <c r="O93" s="646"/>
      <c r="P93" s="646"/>
      <c r="Q93" s="646"/>
      <c r="R93" s="646"/>
      <c r="S93" s="646"/>
      <c r="T93" s="646"/>
      <c r="U93" s="646"/>
      <c r="V93" s="646"/>
      <c r="W93" s="646"/>
      <c r="X93" s="646"/>
      <c r="Y93" s="646"/>
      <c r="Z93" s="646"/>
      <c r="AA93" s="646"/>
      <c r="AB93" s="646"/>
      <c r="AC93" s="646"/>
    </row>
    <row r="94" spans="2:29" ht="15.75" customHeight="1" outlineLevel="1" x14ac:dyDescent="0.45">
      <c r="B94" s="6"/>
      <c r="C94" s="326" t="s">
        <v>262</v>
      </c>
      <c r="D94" s="235" t="s">
        <v>5</v>
      </c>
      <c r="E94" s="20">
        <f>+E93/E150</f>
        <v>4.4552299172422377E-3</v>
      </c>
      <c r="F94" s="20">
        <f t="shared" ref="F94:H94" si="49">+F93/F150</f>
        <v>3.3197975602678067E-3</v>
      </c>
      <c r="G94" s="20">
        <f t="shared" si="49"/>
        <v>5.4002953973574129E-3</v>
      </c>
      <c r="H94" s="20">
        <f t="shared" si="49"/>
        <v>3.5613961761646953E-3</v>
      </c>
      <c r="I94" s="322">
        <f>AVERAGE(E94:H94)</f>
        <v>4.1841797627580378E-3</v>
      </c>
      <c r="J94" s="322">
        <f>+I94</f>
        <v>4.1841797627580378E-3</v>
      </c>
      <c r="K94" s="322">
        <f t="shared" ref="K94:M94" si="50">+J94</f>
        <v>4.1841797627580378E-3</v>
      </c>
      <c r="L94" s="322">
        <f t="shared" si="50"/>
        <v>4.1841797627580378E-3</v>
      </c>
      <c r="M94" s="322">
        <f t="shared" si="50"/>
        <v>4.1841797627580378E-3</v>
      </c>
      <c r="O94" s="646"/>
      <c r="P94" s="646"/>
      <c r="Q94" s="646"/>
      <c r="R94" s="646"/>
      <c r="S94" s="646"/>
      <c r="T94" s="646"/>
      <c r="U94" s="646"/>
      <c r="V94" s="646"/>
      <c r="W94" s="646"/>
      <c r="X94" s="646"/>
      <c r="Y94" s="646"/>
      <c r="Z94" s="646"/>
      <c r="AA94" s="646"/>
      <c r="AB94" s="646"/>
      <c r="AC94" s="646"/>
    </row>
    <row r="95" spans="2:29" ht="15.75" customHeight="1" outlineLevel="1" x14ac:dyDescent="0.45">
      <c r="B95" s="6"/>
      <c r="C95" s="305"/>
      <c r="D95" s="235"/>
      <c r="E95" s="309"/>
      <c r="F95" s="309"/>
      <c r="G95" s="309"/>
      <c r="H95" s="309"/>
      <c r="I95" s="309"/>
      <c r="J95" s="309"/>
      <c r="K95" s="309"/>
      <c r="L95" s="309"/>
      <c r="M95" s="309"/>
      <c r="O95" s="646"/>
      <c r="P95" s="646"/>
      <c r="Q95" s="646"/>
      <c r="R95" s="646"/>
      <c r="S95" s="646"/>
      <c r="T95" s="646"/>
      <c r="U95" s="646"/>
      <c r="V95" s="646"/>
      <c r="W95" s="646"/>
      <c r="X95" s="646"/>
      <c r="Y95" s="646"/>
      <c r="Z95" s="646"/>
      <c r="AA95" s="646"/>
      <c r="AB95" s="646"/>
      <c r="AC95" s="646"/>
    </row>
    <row r="96" spans="2:29" ht="15.75" customHeight="1" outlineLevel="1" x14ac:dyDescent="0.45">
      <c r="B96" s="6"/>
      <c r="C96" s="314" t="s">
        <v>257</v>
      </c>
      <c r="D96" s="235" t="s">
        <v>5</v>
      </c>
      <c r="E96" s="20" t="str">
        <f>IFERROR(+E149/D149-1,"N/A")</f>
        <v>N/A</v>
      </c>
      <c r="F96" s="20">
        <f>IFERROR(+F149/E149-1,"N/A")</f>
        <v>0.29579067121729241</v>
      </c>
      <c r="G96" s="20">
        <f>IFERROR(+G149/F149-1,"N/A")</f>
        <v>5.7067603160667613E-3</v>
      </c>
      <c r="H96" s="20">
        <f>IFERROR(+H149/G149-1,"N/A")</f>
        <v>-0.11043212570929728</v>
      </c>
      <c r="I96" s="19">
        <v>0.05</v>
      </c>
      <c r="J96" s="19">
        <v>0.04</v>
      </c>
      <c r="K96" s="19">
        <v>0.04</v>
      </c>
      <c r="L96" s="19">
        <v>0.03</v>
      </c>
      <c r="M96" s="19">
        <v>0.03</v>
      </c>
      <c r="O96" s="646"/>
      <c r="P96" s="646"/>
      <c r="Q96" s="646"/>
      <c r="R96" s="646"/>
      <c r="S96" s="646"/>
      <c r="T96" s="646"/>
      <c r="U96" s="646"/>
      <c r="V96" s="646"/>
      <c r="W96" s="646"/>
      <c r="X96" s="646"/>
      <c r="Y96" s="646"/>
      <c r="Z96" s="646"/>
      <c r="AA96" s="646"/>
      <c r="AB96" s="646"/>
      <c r="AC96" s="646"/>
    </row>
    <row r="97" spans="2:29" ht="15.75" customHeight="1" outlineLevel="1" x14ac:dyDescent="0.45">
      <c r="B97" s="6"/>
      <c r="C97" s="6"/>
      <c r="D97" s="237"/>
      <c r="E97" s="237"/>
      <c r="F97" s="22"/>
      <c r="G97" s="22"/>
      <c r="H97" s="22"/>
      <c r="I97" s="22"/>
      <c r="J97" s="22"/>
      <c r="K97" s="22"/>
      <c r="L97" s="22"/>
      <c r="M97" s="22"/>
      <c r="O97" s="646"/>
      <c r="P97" s="646"/>
      <c r="Q97" s="646"/>
      <c r="R97" s="646"/>
      <c r="S97" s="646"/>
      <c r="T97" s="646"/>
      <c r="U97" s="646"/>
      <c r="V97" s="646"/>
      <c r="W97" s="646"/>
      <c r="X97" s="646"/>
      <c r="Y97" s="646"/>
      <c r="Z97" s="646"/>
      <c r="AA97" s="646"/>
      <c r="AB97" s="646"/>
      <c r="AC97" s="646"/>
    </row>
    <row r="98" spans="2:29" ht="15.75" customHeight="1" outlineLevel="1" x14ac:dyDescent="0.45">
      <c r="B98" s="6"/>
      <c r="C98" s="314" t="s">
        <v>258</v>
      </c>
      <c r="D98" s="235" t="s">
        <v>5</v>
      </c>
      <c r="E98" s="20"/>
      <c r="F98" s="20">
        <f t="shared" ref="F98:H99" si="51">-F157/AVERAGE(E201,F201)</f>
        <v>4.9231065669520818E-2</v>
      </c>
      <c r="G98" s="20">
        <f t="shared" si="51"/>
        <v>5.0452748373931898E-2</v>
      </c>
      <c r="H98" s="20">
        <f t="shared" si="51"/>
        <v>4.4054828743823958E-2</v>
      </c>
      <c r="I98" s="322">
        <f>AVERAGE(F98:H98)</f>
        <v>4.7912880929092232E-2</v>
      </c>
      <c r="J98" s="322">
        <f>+I98</f>
        <v>4.7912880929092232E-2</v>
      </c>
      <c r="K98" s="322">
        <f t="shared" ref="K98:M98" si="52">+J98</f>
        <v>4.7912880929092232E-2</v>
      </c>
      <c r="L98" s="322">
        <f t="shared" si="52"/>
        <v>4.7912880929092232E-2</v>
      </c>
      <c r="M98" s="322">
        <f t="shared" si="52"/>
        <v>4.7912880929092232E-2</v>
      </c>
      <c r="O98" s="646"/>
      <c r="P98" s="646"/>
      <c r="Q98" s="646"/>
      <c r="R98" s="646"/>
      <c r="S98" s="646"/>
      <c r="T98" s="646"/>
      <c r="U98" s="646"/>
      <c r="V98" s="646"/>
      <c r="W98" s="646"/>
      <c r="X98" s="646"/>
      <c r="Y98" s="646"/>
      <c r="Z98" s="646"/>
      <c r="AA98" s="646"/>
      <c r="AB98" s="646"/>
      <c r="AC98" s="646"/>
    </row>
    <row r="99" spans="2:29" ht="15.75" customHeight="1" outlineLevel="1" x14ac:dyDescent="0.45">
      <c r="B99" s="6"/>
      <c r="C99" s="314" t="s">
        <v>259</v>
      </c>
      <c r="D99" s="235" t="s">
        <v>5</v>
      </c>
      <c r="E99" s="20"/>
      <c r="F99" s="20">
        <f t="shared" si="51"/>
        <v>4.9942017781213759E-2</v>
      </c>
      <c r="G99" s="20">
        <f t="shared" si="51"/>
        <v>5.0231894398858369E-2</v>
      </c>
      <c r="H99" s="20">
        <f t="shared" si="51"/>
        <v>4.9936065684097183E-2</v>
      </c>
      <c r="I99" s="322">
        <f>AVERAGE(F99:H99)</f>
        <v>5.003665928805643E-2</v>
      </c>
      <c r="J99" s="322">
        <f>+I99</f>
        <v>5.003665928805643E-2</v>
      </c>
      <c r="K99" s="322">
        <f t="shared" ref="K99:M99" si="53">+J99</f>
        <v>5.003665928805643E-2</v>
      </c>
      <c r="L99" s="322">
        <f t="shared" si="53"/>
        <v>5.003665928805643E-2</v>
      </c>
      <c r="M99" s="322">
        <f t="shared" si="53"/>
        <v>5.003665928805643E-2</v>
      </c>
      <c r="O99" s="646"/>
      <c r="P99" s="646"/>
      <c r="Q99" s="646"/>
      <c r="R99" s="646"/>
      <c r="S99" s="646"/>
      <c r="T99" s="646"/>
      <c r="U99" s="646"/>
      <c r="V99" s="646"/>
      <c r="W99" s="646"/>
      <c r="X99" s="646"/>
      <c r="Y99" s="646"/>
      <c r="Z99" s="646"/>
      <c r="AA99" s="646"/>
      <c r="AB99" s="646"/>
      <c r="AC99" s="646"/>
    </row>
    <row r="100" spans="2:29" ht="15.75" customHeight="1" outlineLevel="1" x14ac:dyDescent="0.45">
      <c r="B100" s="6"/>
      <c r="C100" s="314" t="s">
        <v>260</v>
      </c>
      <c r="D100" s="235" t="s">
        <v>5</v>
      </c>
      <c r="E100" s="20"/>
      <c r="F100" s="20">
        <f>+F159/AVERAGE(E180,F180)</f>
        <v>1.2768945923514014E-2</v>
      </c>
      <c r="G100" s="20">
        <f>+G159/AVERAGE(F180,G180)</f>
        <v>2.2051356448571015E-2</v>
      </c>
      <c r="H100" s="20">
        <f>+H159/AVERAGE(G180,H180)</f>
        <v>3.0138888888888889E-2</v>
      </c>
      <c r="I100" s="322">
        <f>+H100</f>
        <v>3.0138888888888889E-2</v>
      </c>
      <c r="J100" s="322">
        <f t="shared" ref="J100:M100" si="54">+I100</f>
        <v>3.0138888888888889E-2</v>
      </c>
      <c r="K100" s="322">
        <f t="shared" si="54"/>
        <v>3.0138888888888889E-2</v>
      </c>
      <c r="L100" s="322">
        <f t="shared" si="54"/>
        <v>3.0138888888888889E-2</v>
      </c>
      <c r="M100" s="322">
        <f t="shared" si="54"/>
        <v>3.0138888888888889E-2</v>
      </c>
      <c r="O100" s="646"/>
      <c r="P100" s="646"/>
      <c r="Q100" s="646"/>
      <c r="R100" s="646"/>
      <c r="S100" s="646"/>
      <c r="T100" s="646"/>
      <c r="U100" s="646"/>
      <c r="V100" s="646"/>
      <c r="W100" s="646"/>
      <c r="X100" s="646"/>
      <c r="Y100" s="646"/>
      <c r="Z100" s="646"/>
      <c r="AA100" s="646"/>
      <c r="AB100" s="646"/>
      <c r="AC100" s="646"/>
    </row>
    <row r="101" spans="2:29" ht="15.75" customHeight="1" outlineLevel="1" x14ac:dyDescent="0.45">
      <c r="B101" s="6"/>
      <c r="C101" s="6"/>
      <c r="D101" s="237"/>
      <c r="E101" s="237"/>
      <c r="F101" s="22"/>
      <c r="G101" s="22"/>
      <c r="H101" s="22"/>
      <c r="I101" s="22"/>
      <c r="J101" s="22"/>
      <c r="K101" s="22"/>
      <c r="L101" s="22"/>
      <c r="M101" s="22"/>
      <c r="O101" s="646"/>
      <c r="P101" s="646"/>
      <c r="Q101" s="646"/>
      <c r="R101" s="646"/>
      <c r="S101" s="646"/>
      <c r="T101" s="646"/>
      <c r="U101" s="646"/>
      <c r="V101" s="646"/>
      <c r="W101" s="646"/>
      <c r="X101" s="646"/>
      <c r="Y101" s="646"/>
      <c r="Z101" s="646"/>
      <c r="AA101" s="646"/>
      <c r="AB101" s="646"/>
      <c r="AC101" s="646"/>
    </row>
    <row r="102" spans="2:29" ht="15.75" customHeight="1" outlineLevel="1" x14ac:dyDescent="0.45">
      <c r="B102" s="6"/>
      <c r="C102" s="323" t="s">
        <v>8</v>
      </c>
      <c r="D102" s="324" t="s">
        <v>5</v>
      </c>
      <c r="E102" s="20">
        <f>-E165/E164</f>
        <v>0.30307791847675386</v>
      </c>
      <c r="F102" s="20">
        <f>-F165/F164</f>
        <v>0.30267844074742645</v>
      </c>
      <c r="G102" s="20">
        <f>-G165/G164</f>
        <v>0.30417245255570985</v>
      </c>
      <c r="H102" s="20">
        <f>-H165/H164</f>
        <v>0.37356020942408374</v>
      </c>
      <c r="I102" s="322">
        <f>Tax_Rate</f>
        <v>0.2425828970331588</v>
      </c>
      <c r="J102" s="322">
        <f>Tax_Rate</f>
        <v>0.2425828970331588</v>
      </c>
      <c r="K102" s="322">
        <f>Tax_Rate</f>
        <v>0.2425828970331588</v>
      </c>
      <c r="L102" s="322">
        <f>Tax_Rate</f>
        <v>0.2425828970331588</v>
      </c>
      <c r="M102" s="322">
        <f>Tax_Rate</f>
        <v>0.2425828970331588</v>
      </c>
      <c r="O102" s="646"/>
      <c r="P102" s="646"/>
      <c r="Q102" s="646"/>
      <c r="R102" s="646"/>
      <c r="S102" s="646"/>
      <c r="T102" s="646"/>
      <c r="U102" s="646"/>
      <c r="V102" s="646"/>
      <c r="W102" s="646"/>
      <c r="X102" s="646"/>
      <c r="Y102" s="646"/>
      <c r="Z102" s="646"/>
      <c r="AA102" s="646"/>
      <c r="AB102" s="646"/>
      <c r="AC102" s="646"/>
    </row>
    <row r="103" spans="2:29" ht="15.75" customHeight="1" outlineLevel="1" x14ac:dyDescent="0.45">
      <c r="B103" s="6"/>
      <c r="C103" s="323" t="s">
        <v>261</v>
      </c>
      <c r="D103" s="324" t="s">
        <v>5</v>
      </c>
      <c r="E103" s="20">
        <f>-E167/E166</f>
        <v>2.5596816976127319E-2</v>
      </c>
      <c r="F103" s="20">
        <f>-F167/F166</f>
        <v>4.5476806828517458E-2</v>
      </c>
      <c r="G103" s="20">
        <f>-G167/G166</f>
        <v>6.2814786657797203E-2</v>
      </c>
      <c r="H103" s="20">
        <f>-H167/H166</f>
        <v>7.090123972698148E-2</v>
      </c>
      <c r="I103" s="19">
        <v>7.4999999999999997E-2</v>
      </c>
      <c r="J103" s="19">
        <v>0.08</v>
      </c>
      <c r="K103" s="19">
        <v>8.5000000000000006E-2</v>
      </c>
      <c r="L103" s="19">
        <v>0.09</v>
      </c>
      <c r="M103" s="19">
        <v>9.5000000000000001E-2</v>
      </c>
      <c r="O103" s="646"/>
      <c r="P103" s="646"/>
      <c r="Q103" s="646"/>
      <c r="R103" s="646"/>
      <c r="S103" s="646"/>
      <c r="T103" s="646"/>
      <c r="U103" s="646"/>
      <c r="V103" s="646"/>
      <c r="W103" s="646"/>
      <c r="X103" s="646"/>
      <c r="Y103" s="646"/>
      <c r="Z103" s="646"/>
      <c r="AA103" s="646"/>
      <c r="AB103" s="646"/>
      <c r="AC103" s="646"/>
    </row>
    <row r="104" spans="2:29" ht="15.75" customHeight="1" outlineLevel="1" x14ac:dyDescent="0.45">
      <c r="B104" s="346"/>
      <c r="C104" s="346"/>
      <c r="D104" s="347"/>
      <c r="E104" s="348"/>
      <c r="F104" s="348"/>
      <c r="G104" s="348"/>
      <c r="H104" s="348"/>
      <c r="I104" s="348"/>
      <c r="J104" s="348"/>
      <c r="K104" s="348"/>
      <c r="L104" s="348"/>
      <c r="M104" s="348"/>
      <c r="O104" s="646"/>
      <c r="P104" s="646"/>
      <c r="Q104" s="646"/>
      <c r="R104" s="646"/>
      <c r="S104" s="646"/>
      <c r="T104" s="646"/>
      <c r="U104" s="646"/>
      <c r="V104" s="646"/>
      <c r="W104" s="646"/>
      <c r="X104" s="646"/>
      <c r="Y104" s="646"/>
      <c r="Z104" s="646"/>
      <c r="AA104" s="646"/>
      <c r="AB104" s="646"/>
      <c r="AC104" s="646"/>
    </row>
    <row r="105" spans="2:29" ht="15.75" customHeight="1" outlineLevel="1" x14ac:dyDescent="0.45">
      <c r="B105" s="587" t="s">
        <v>444</v>
      </c>
      <c r="C105" s="587"/>
      <c r="D105" s="588"/>
      <c r="E105" s="588"/>
      <c r="F105" s="589"/>
      <c r="G105" s="589"/>
      <c r="H105" s="589"/>
      <c r="I105" s="589"/>
      <c r="J105" s="589"/>
      <c r="K105" s="589"/>
      <c r="L105" s="589"/>
      <c r="M105" s="589"/>
      <c r="O105" s="646"/>
      <c r="P105" s="646"/>
      <c r="Q105" s="646"/>
      <c r="R105" s="646"/>
      <c r="S105" s="646"/>
      <c r="T105" s="646"/>
      <c r="U105" s="646"/>
      <c r="V105" s="646"/>
      <c r="W105" s="646"/>
      <c r="X105" s="646"/>
      <c r="Y105" s="646"/>
      <c r="Z105" s="646"/>
      <c r="AA105" s="646"/>
      <c r="AB105" s="646"/>
      <c r="AC105" s="646"/>
    </row>
    <row r="106" spans="2:29" ht="15.75" customHeight="1" outlineLevel="1" x14ac:dyDescent="0.45">
      <c r="B106" s="6"/>
      <c r="C106" s="328" t="s">
        <v>263</v>
      </c>
      <c r="D106" s="235" t="s">
        <v>5</v>
      </c>
      <c r="E106" s="330">
        <f>+E181/E150</f>
        <v>1.1664903656690104E-2</v>
      </c>
      <c r="F106" s="330">
        <f>+F181/F150</f>
        <v>1.2009311075116337E-2</v>
      </c>
      <c r="G106" s="330">
        <f>+G181/G150</f>
        <v>1.1220302872229651E-2</v>
      </c>
      <c r="H106" s="330">
        <f>+H181/H150</f>
        <v>1.2214111449149989E-2</v>
      </c>
      <c r="I106" s="617">
        <f>+I107/(I91-H91)</f>
        <v>1.1785382818827421E-2</v>
      </c>
      <c r="J106" s="617">
        <f>+J107/(J91-I91)</f>
        <v>1.1753182319322429E-2</v>
      </c>
      <c r="K106" s="617">
        <f>+K107/(K91-J91)</f>
        <v>1.1785382818827421E-2</v>
      </c>
      <c r="L106" s="617">
        <f>+L107/(L91-K91)</f>
        <v>1.1785382818827421E-2</v>
      </c>
      <c r="M106" s="617">
        <f>+M107/(M91-L91)</f>
        <v>1.1785382818827421E-2</v>
      </c>
      <c r="O106" s="646"/>
      <c r="P106" s="646"/>
      <c r="Q106" s="646"/>
      <c r="R106" s="646"/>
      <c r="S106" s="646"/>
      <c r="T106" s="646"/>
      <c r="U106" s="646"/>
      <c r="V106" s="646"/>
      <c r="W106" s="646"/>
      <c r="X106" s="646"/>
      <c r="Y106" s="646"/>
      <c r="Z106" s="646"/>
      <c r="AA106" s="646"/>
      <c r="AB106" s="646"/>
      <c r="AC106" s="646"/>
    </row>
    <row r="107" spans="2:29" ht="15.75" customHeight="1" outlineLevel="1" x14ac:dyDescent="0.45">
      <c r="B107" s="6"/>
      <c r="C107" s="328" t="s">
        <v>264</v>
      </c>
      <c r="D107" s="235" t="s">
        <v>265</v>
      </c>
      <c r="E107" s="331">
        <f>+E106*(E91-EOMONTH(E91,-12))</f>
        <v>4.2576898346918881</v>
      </c>
      <c r="F107" s="331">
        <f>+F106*(F91-E91)</f>
        <v>4.3954078534925793</v>
      </c>
      <c r="G107" s="331">
        <f>+G106*(G91-F91)</f>
        <v>4.095410548363823</v>
      </c>
      <c r="H107" s="331">
        <f>+H106*(H91-G91)</f>
        <v>4.458150678939746</v>
      </c>
      <c r="I107" s="333">
        <f>AVERAGE(E107:H107)</f>
        <v>4.3016647288720087</v>
      </c>
      <c r="J107" s="333">
        <f>+I107</f>
        <v>4.3016647288720087</v>
      </c>
      <c r="K107" s="333">
        <f t="shared" ref="K107:M107" si="55">+J107</f>
        <v>4.3016647288720087</v>
      </c>
      <c r="L107" s="333">
        <f t="shared" si="55"/>
        <v>4.3016647288720087</v>
      </c>
      <c r="M107" s="333">
        <f t="shared" si="55"/>
        <v>4.3016647288720087</v>
      </c>
      <c r="O107" s="646"/>
      <c r="P107" s="646"/>
      <c r="Q107" s="646"/>
      <c r="R107" s="646"/>
      <c r="S107" s="646"/>
      <c r="T107" s="646"/>
      <c r="U107" s="646"/>
      <c r="V107" s="646"/>
      <c r="W107" s="646"/>
      <c r="X107" s="646"/>
      <c r="Y107" s="646"/>
      <c r="Z107" s="646"/>
      <c r="AA107" s="646"/>
      <c r="AB107" s="646"/>
      <c r="AC107" s="646"/>
    </row>
    <row r="108" spans="2:29" ht="15.75" customHeight="1" outlineLevel="1" x14ac:dyDescent="0.45">
      <c r="B108" s="6"/>
      <c r="C108" s="326"/>
      <c r="D108" s="329"/>
      <c r="E108" s="329"/>
      <c r="F108" s="330"/>
      <c r="G108" s="330"/>
      <c r="H108" s="330"/>
      <c r="I108" s="332"/>
      <c r="J108" s="332"/>
      <c r="K108" s="332"/>
      <c r="L108" s="332"/>
      <c r="M108" s="332"/>
      <c r="O108" s="646"/>
      <c r="P108" s="646"/>
      <c r="Q108" s="646"/>
      <c r="R108" s="646"/>
      <c r="S108" s="646"/>
      <c r="T108" s="646"/>
      <c r="U108" s="646"/>
      <c r="V108" s="646"/>
      <c r="W108" s="646"/>
      <c r="X108" s="646"/>
      <c r="Y108" s="646"/>
      <c r="Z108" s="646"/>
      <c r="AA108" s="646"/>
      <c r="AB108" s="646"/>
      <c r="AC108" s="646"/>
    </row>
    <row r="109" spans="2:29" ht="15.75" customHeight="1" outlineLevel="1" x14ac:dyDescent="0.45">
      <c r="B109" s="6"/>
      <c r="C109" s="345" t="s">
        <v>288</v>
      </c>
      <c r="D109" s="235" t="s">
        <v>5</v>
      </c>
      <c r="E109" s="330">
        <f>+E182/(E22-E39+E45-E61+E68-E84)</f>
        <v>9.8304230470796561E-2</v>
      </c>
      <c r="F109" s="330">
        <f>+F182/(F22-F39+F45-F61+F68-F84)</f>
        <v>9.420492843699392E-2</v>
      </c>
      <c r="G109" s="330">
        <f>+G182/(G22-G39+G45-G61+G68-G84)</f>
        <v>9.2638514499959801E-2</v>
      </c>
      <c r="H109" s="330">
        <f>+H182/(H22-H39+H45-H61+H68-H84)</f>
        <v>9.0987380277058411E-2</v>
      </c>
      <c r="I109" s="19">
        <v>0.09</v>
      </c>
      <c r="J109" s="19">
        <v>8.8999999999999996E-2</v>
      </c>
      <c r="K109" s="19">
        <v>8.7999999999999995E-2</v>
      </c>
      <c r="L109" s="19">
        <v>8.6999999999999994E-2</v>
      </c>
      <c r="M109" s="19">
        <v>8.5999999999999993E-2</v>
      </c>
      <c r="O109" s="646"/>
      <c r="P109" s="646"/>
      <c r="Q109" s="646"/>
      <c r="R109" s="646"/>
      <c r="S109" s="646"/>
      <c r="T109" s="646"/>
      <c r="U109" s="646"/>
      <c r="V109" s="646"/>
      <c r="W109" s="646"/>
      <c r="X109" s="646"/>
      <c r="Y109" s="646"/>
      <c r="Z109" s="646"/>
      <c r="AA109" s="646"/>
      <c r="AB109" s="646"/>
      <c r="AC109" s="646"/>
    </row>
    <row r="110" spans="2:29" ht="15.75" customHeight="1" outlineLevel="1" x14ac:dyDescent="0.45">
      <c r="B110" s="6"/>
      <c r="C110" s="345" t="s">
        <v>289</v>
      </c>
      <c r="D110" s="235" t="s">
        <v>5</v>
      </c>
      <c r="E110" s="330">
        <f>+E183/(E150-E153)</f>
        <v>3.1461164783581682E-3</v>
      </c>
      <c r="F110" s="330">
        <f>+F183/(F150-F153)</f>
        <v>4.1912379159118052E-3</v>
      </c>
      <c r="G110" s="330">
        <f>+G183/(G150-G153)</f>
        <v>7.316016053143741E-3</v>
      </c>
      <c r="H110" s="330">
        <f>+H183/(H150-H153)</f>
        <v>7.3571219702384819E-3</v>
      </c>
      <c r="I110" s="19">
        <v>7.0000000000000001E-3</v>
      </c>
      <c r="J110" s="19">
        <v>8.0000000000000002E-3</v>
      </c>
      <c r="K110" s="19">
        <v>8.9999999999999993E-3</v>
      </c>
      <c r="L110" s="19">
        <v>0.01</v>
      </c>
      <c r="M110" s="19">
        <v>1.0999999999999999E-2</v>
      </c>
      <c r="O110" s="646"/>
      <c r="P110" s="646"/>
      <c r="Q110" s="646"/>
      <c r="R110" s="646"/>
      <c r="S110" s="646"/>
      <c r="T110" s="646"/>
      <c r="U110" s="646"/>
      <c r="V110" s="646"/>
      <c r="W110" s="646"/>
      <c r="X110" s="646"/>
      <c r="Y110" s="646"/>
      <c r="Z110" s="646"/>
      <c r="AA110" s="646"/>
      <c r="AB110" s="646"/>
      <c r="AC110" s="646"/>
    </row>
    <row r="111" spans="2:29" ht="15.75" customHeight="1" outlineLevel="1" x14ac:dyDescent="0.45">
      <c r="B111" s="6"/>
      <c r="C111" s="326"/>
      <c r="D111" s="329"/>
      <c r="E111" s="329"/>
      <c r="F111" s="330"/>
      <c r="G111" s="330"/>
      <c r="H111" s="330"/>
      <c r="I111" s="330"/>
      <c r="J111" s="330"/>
      <c r="K111" s="330"/>
      <c r="L111" s="330"/>
      <c r="M111" s="330"/>
      <c r="O111" s="646"/>
      <c r="P111" s="646"/>
      <c r="Q111" s="646"/>
      <c r="R111" s="646"/>
      <c r="S111" s="646"/>
      <c r="T111" s="646"/>
      <c r="U111" s="646"/>
      <c r="V111" s="646"/>
      <c r="W111" s="646"/>
      <c r="X111" s="646"/>
      <c r="Y111" s="646"/>
      <c r="Z111" s="646"/>
      <c r="AA111" s="646"/>
      <c r="AB111" s="646"/>
      <c r="AC111" s="646"/>
    </row>
    <row r="112" spans="2:29" ht="15.75" customHeight="1" outlineLevel="1" x14ac:dyDescent="0.45">
      <c r="B112" s="6"/>
      <c r="C112" s="345" t="s">
        <v>290</v>
      </c>
      <c r="D112" s="235" t="s">
        <v>5</v>
      </c>
      <c r="E112" s="330">
        <f>+E196/(E150-E153)</f>
        <v>8.4028164401506469E-2</v>
      </c>
      <c r="F112" s="330">
        <f>+F196/(F150-F153)</f>
        <v>8.9467058511063277E-2</v>
      </c>
      <c r="G112" s="330">
        <f>+G196/(G150-G153)</f>
        <v>9.6043808579180087E-2</v>
      </c>
      <c r="H112" s="330">
        <f>+H196/(H150-H153)</f>
        <v>9.5563389434011312E-2</v>
      </c>
      <c r="I112" s="19">
        <v>9.8000000000000004E-2</v>
      </c>
      <c r="J112" s="19">
        <v>0.1</v>
      </c>
      <c r="K112" s="19">
        <v>0.10199999999999999</v>
      </c>
      <c r="L112" s="19">
        <v>0.104</v>
      </c>
      <c r="M112" s="19">
        <v>0.106</v>
      </c>
      <c r="O112" s="646"/>
      <c r="P112" s="646"/>
      <c r="Q112" s="646"/>
      <c r="R112" s="646"/>
      <c r="S112" s="646"/>
      <c r="T112" s="646"/>
      <c r="U112" s="646"/>
      <c r="V112" s="646"/>
      <c r="W112" s="646"/>
      <c r="X112" s="646"/>
      <c r="Y112" s="646"/>
      <c r="Z112" s="646"/>
      <c r="AA112" s="646"/>
      <c r="AB112" s="646"/>
      <c r="AC112" s="646"/>
    </row>
    <row r="113" spans="2:29" ht="15.75" customHeight="1" outlineLevel="1" x14ac:dyDescent="0.45">
      <c r="B113" s="6"/>
      <c r="C113" s="345" t="s">
        <v>291</v>
      </c>
      <c r="D113" s="235" t="s">
        <v>5</v>
      </c>
      <c r="E113" s="330">
        <f>+E197/(E150-E153)</f>
        <v>4.3945199497844006E-2</v>
      </c>
      <c r="F113" s="330">
        <f>+F197/(F150-F153)</f>
        <v>4.6587304500668308E-2</v>
      </c>
      <c r="G113" s="330">
        <f>+G197/(G150-G153)</f>
        <v>4.7440540439169336E-2</v>
      </c>
      <c r="H113" s="330">
        <f>+H197/(H150-H153)</f>
        <v>4.5866771720059783E-2</v>
      </c>
      <c r="I113" s="322">
        <f>AVERAGE(E113:H113)</f>
        <v>4.5959954039435362E-2</v>
      </c>
      <c r="J113" s="322">
        <f>+I113</f>
        <v>4.5959954039435362E-2</v>
      </c>
      <c r="K113" s="322">
        <f t="shared" ref="K113:M113" si="56">+J113</f>
        <v>4.5959954039435362E-2</v>
      </c>
      <c r="L113" s="322">
        <f t="shared" si="56"/>
        <v>4.5959954039435362E-2</v>
      </c>
      <c r="M113" s="322">
        <f t="shared" si="56"/>
        <v>4.5959954039435362E-2</v>
      </c>
      <c r="O113" s="646"/>
      <c r="P113" s="646"/>
      <c r="Q113" s="646"/>
      <c r="R113" s="646"/>
      <c r="S113" s="646"/>
      <c r="T113" s="646"/>
      <c r="U113" s="646"/>
      <c r="V113" s="646"/>
      <c r="W113" s="646"/>
      <c r="X113" s="646"/>
      <c r="Y113" s="646"/>
      <c r="Z113" s="646"/>
      <c r="AA113" s="646"/>
      <c r="AB113" s="646"/>
      <c r="AC113" s="646"/>
    </row>
    <row r="114" spans="2:29" ht="15.75" customHeight="1" outlineLevel="1" x14ac:dyDescent="0.45">
      <c r="B114" s="6"/>
      <c r="C114" s="6"/>
      <c r="D114" s="237"/>
      <c r="E114" s="237"/>
      <c r="F114" s="22"/>
      <c r="G114" s="22"/>
      <c r="H114" s="22"/>
      <c r="I114" s="22"/>
      <c r="J114" s="22"/>
      <c r="K114" s="22"/>
      <c r="L114" s="22"/>
      <c r="M114" s="22"/>
      <c r="O114" s="646"/>
      <c r="P114" s="646"/>
      <c r="Q114" s="646"/>
      <c r="R114" s="646"/>
      <c r="S114" s="646"/>
      <c r="T114" s="646"/>
      <c r="U114" s="646"/>
      <c r="V114" s="646"/>
      <c r="W114" s="646"/>
      <c r="X114" s="646"/>
      <c r="Y114" s="646"/>
      <c r="Z114" s="646"/>
      <c r="AA114" s="646"/>
      <c r="AB114" s="646"/>
      <c r="AC114" s="646"/>
    </row>
    <row r="115" spans="2:29" ht="15.75" customHeight="1" outlineLevel="1" x14ac:dyDescent="0.45">
      <c r="B115" s="6"/>
      <c r="C115" s="338" t="s">
        <v>280</v>
      </c>
      <c r="D115" s="236" t="s">
        <v>192</v>
      </c>
      <c r="E115" s="39">
        <f>+E202/(E25+E48+E71)</f>
        <v>5.5377255925201139</v>
      </c>
      <c r="F115" s="39">
        <f>+F202/(F25+F48+F71)</f>
        <v>5.6419088687405781</v>
      </c>
      <c r="G115" s="39">
        <f>+G202/(G25+G48+G71)</f>
        <v>6.4289777951204696</v>
      </c>
      <c r="H115" s="39">
        <f>+H202/(H25+H48+H71)</f>
        <v>6.5624861658329277</v>
      </c>
      <c r="I115" s="303">
        <v>6.8</v>
      </c>
      <c r="J115" s="303">
        <v>6.95</v>
      </c>
      <c r="K115" s="303">
        <v>7.1</v>
      </c>
      <c r="L115" s="303">
        <v>7.25</v>
      </c>
      <c r="M115" s="303">
        <v>7.4</v>
      </c>
      <c r="O115" s="646"/>
      <c r="P115" s="646"/>
      <c r="Q115" s="646"/>
      <c r="R115" s="646"/>
      <c r="S115" s="646"/>
      <c r="T115" s="646"/>
      <c r="U115" s="646"/>
      <c r="V115" s="646"/>
      <c r="W115" s="646"/>
      <c r="X115" s="646"/>
      <c r="Y115" s="646"/>
      <c r="Z115" s="646"/>
      <c r="AA115" s="646"/>
      <c r="AB115" s="646"/>
      <c r="AC115" s="646"/>
    </row>
    <row r="116" spans="2:29" ht="15.75" customHeight="1" outlineLevel="1" x14ac:dyDescent="0.45">
      <c r="B116" s="6"/>
      <c r="C116" s="6"/>
      <c r="D116" s="237"/>
      <c r="E116" s="237"/>
      <c r="F116" s="22"/>
      <c r="G116" s="22"/>
      <c r="H116" s="330"/>
      <c r="I116" s="22"/>
      <c r="J116" s="22"/>
      <c r="K116" s="22"/>
      <c r="L116" s="22"/>
      <c r="M116" s="330"/>
      <c r="O116" s="646"/>
      <c r="P116" s="646"/>
      <c r="Q116" s="646"/>
      <c r="R116" s="646"/>
      <c r="S116" s="646"/>
      <c r="T116" s="646"/>
      <c r="U116" s="646"/>
      <c r="V116" s="646"/>
      <c r="W116" s="646"/>
      <c r="X116" s="646"/>
      <c r="Y116" s="646"/>
      <c r="Z116" s="646"/>
      <c r="AA116" s="646"/>
      <c r="AB116" s="646"/>
      <c r="AC116" s="646"/>
    </row>
    <row r="117" spans="2:29" ht="15.75" customHeight="1" outlineLevel="1" x14ac:dyDescent="0.45">
      <c r="B117" s="587" t="s">
        <v>445</v>
      </c>
      <c r="C117" s="587"/>
      <c r="D117" s="588"/>
      <c r="E117" s="588"/>
      <c r="F117" s="589"/>
      <c r="G117" s="589"/>
      <c r="H117" s="589"/>
      <c r="I117" s="589"/>
      <c r="J117" s="589"/>
      <c r="K117" s="589"/>
      <c r="L117" s="589"/>
      <c r="M117" s="589"/>
      <c r="O117" s="646"/>
      <c r="P117" s="646"/>
      <c r="Q117" s="646"/>
      <c r="R117" s="646"/>
      <c r="S117" s="646"/>
      <c r="T117" s="646"/>
      <c r="U117" s="646"/>
      <c r="V117" s="646"/>
      <c r="W117" s="646"/>
      <c r="X117" s="646"/>
      <c r="Y117" s="646"/>
      <c r="Z117" s="646"/>
      <c r="AA117" s="646"/>
      <c r="AB117" s="646"/>
      <c r="AC117" s="646"/>
    </row>
    <row r="118" spans="2:29" ht="15.75" customHeight="1" outlineLevel="1" x14ac:dyDescent="0.45">
      <c r="B118" s="6"/>
      <c r="C118" s="323" t="s">
        <v>268</v>
      </c>
      <c r="D118" s="235" t="s">
        <v>5</v>
      </c>
      <c r="E118" s="330">
        <f>+E222/E150</f>
        <v>1.9608819198141579E-2</v>
      </c>
      <c r="F118" s="330">
        <f>+F222/F150</f>
        <v>2.074616206292591E-2</v>
      </c>
      <c r="G118" s="330">
        <f>+G222/G150</f>
        <v>2.1043564115017097E-2</v>
      </c>
      <c r="H118" s="330">
        <f>+H222/H150</f>
        <v>2.0757963083562564E-2</v>
      </c>
      <c r="I118" s="19">
        <v>0.02</v>
      </c>
      <c r="J118" s="322">
        <f>+I118</f>
        <v>0.02</v>
      </c>
      <c r="K118" s="322">
        <f t="shared" ref="K118:M118" si="57">+J118</f>
        <v>0.02</v>
      </c>
      <c r="L118" s="322">
        <f t="shared" si="57"/>
        <v>0.02</v>
      </c>
      <c r="M118" s="322">
        <f t="shared" si="57"/>
        <v>0.02</v>
      </c>
      <c r="O118" s="646"/>
      <c r="P118" s="646"/>
      <c r="Q118" s="646"/>
      <c r="R118" s="646"/>
      <c r="S118" s="646"/>
      <c r="T118" s="646"/>
      <c r="U118" s="646"/>
      <c r="V118" s="646"/>
      <c r="W118" s="646"/>
      <c r="X118" s="646"/>
      <c r="Y118" s="646"/>
      <c r="Z118" s="646"/>
      <c r="AA118" s="646"/>
      <c r="AB118" s="646"/>
      <c r="AC118" s="646"/>
    </row>
    <row r="119" spans="2:29" outlineLevel="1" x14ac:dyDescent="0.45">
      <c r="C119" s="323" t="s">
        <v>266</v>
      </c>
      <c r="D119" s="235" t="s">
        <v>5</v>
      </c>
      <c r="E119" s="330">
        <f>-E225/E165</f>
        <v>-0.10247026532479414</v>
      </c>
      <c r="F119" s="330">
        <f>-F225/F165</f>
        <v>0.12266279819471308</v>
      </c>
      <c r="G119" s="330">
        <f>-G225/G165</f>
        <v>-6.6086956521739126E-2</v>
      </c>
      <c r="H119" s="330">
        <f>-H225/H165</f>
        <v>-0.11656155103947675</v>
      </c>
      <c r="I119" s="322">
        <f>AVERAGE(E119:H119)</f>
        <v>-4.0613993672824235E-2</v>
      </c>
      <c r="J119" s="322">
        <f>+I119</f>
        <v>-4.0613993672824235E-2</v>
      </c>
      <c r="K119" s="322">
        <f t="shared" ref="K119:M120" si="58">+J119</f>
        <v>-4.0613993672824235E-2</v>
      </c>
      <c r="L119" s="322">
        <f t="shared" si="58"/>
        <v>-4.0613993672824235E-2</v>
      </c>
      <c r="M119" s="322">
        <f t="shared" si="58"/>
        <v>-4.0613993672824235E-2</v>
      </c>
      <c r="O119" s="646"/>
      <c r="P119" s="646"/>
      <c r="Q119" s="646"/>
      <c r="R119" s="646"/>
      <c r="S119" s="646"/>
      <c r="T119" s="646"/>
      <c r="U119" s="646"/>
      <c r="V119" s="646"/>
      <c r="W119" s="646"/>
      <c r="X119" s="646"/>
      <c r="Y119" s="646"/>
      <c r="Z119" s="646"/>
      <c r="AA119" s="646"/>
      <c r="AB119" s="646"/>
      <c r="AC119" s="646"/>
    </row>
    <row r="120" spans="2:29" ht="15.75" customHeight="1" outlineLevel="1" x14ac:dyDescent="0.45">
      <c r="B120" s="6"/>
      <c r="C120" s="323" t="s">
        <v>267</v>
      </c>
      <c r="D120" s="235" t="s">
        <v>5</v>
      </c>
      <c r="E120" s="330">
        <f>+E226/E150</f>
        <v>2.92452243170929E-3</v>
      </c>
      <c r="F120" s="330">
        <f>+F226/F150</f>
        <v>4.2397910565106521E-4</v>
      </c>
      <c r="G120" s="330">
        <f>+G226/G150</f>
        <v>2.4183410180616096E-3</v>
      </c>
      <c r="H120" s="330">
        <f>+H226/H150</f>
        <v>3.3708848086624354E-3</v>
      </c>
      <c r="I120" s="322">
        <f>AVERAGE(E120:H120)</f>
        <v>2.2844318410210999E-3</v>
      </c>
      <c r="J120" s="322">
        <f>+I120</f>
        <v>2.2844318410210999E-3</v>
      </c>
      <c r="K120" s="322">
        <f t="shared" si="58"/>
        <v>2.2844318410210999E-3</v>
      </c>
      <c r="L120" s="322">
        <f t="shared" si="58"/>
        <v>2.2844318410210999E-3</v>
      </c>
      <c r="M120" s="322">
        <f t="shared" si="58"/>
        <v>2.2844318410210999E-3</v>
      </c>
      <c r="O120" s="646"/>
      <c r="P120" s="646"/>
      <c r="Q120" s="646"/>
      <c r="R120" s="646"/>
      <c r="S120" s="646"/>
      <c r="T120" s="646"/>
      <c r="U120" s="646"/>
      <c r="V120" s="646"/>
      <c r="W120" s="646"/>
      <c r="X120" s="646"/>
      <c r="Y120" s="646"/>
      <c r="Z120" s="646"/>
      <c r="AA120" s="646"/>
      <c r="AB120" s="646"/>
      <c r="AC120" s="646"/>
    </row>
    <row r="121" spans="2:29" ht="15.75" customHeight="1" outlineLevel="1" x14ac:dyDescent="0.45">
      <c r="B121" s="6"/>
      <c r="C121" s="6"/>
      <c r="D121" s="237"/>
      <c r="E121" s="237"/>
      <c r="F121" s="22"/>
      <c r="G121" s="22"/>
      <c r="H121" s="22"/>
      <c r="I121" s="22"/>
      <c r="J121" s="22"/>
      <c r="K121" s="22"/>
      <c r="L121" s="22"/>
      <c r="M121" s="22"/>
      <c r="O121" s="646"/>
      <c r="P121" s="646"/>
      <c r="Q121" s="646"/>
      <c r="R121" s="646"/>
      <c r="S121" s="646"/>
      <c r="T121" s="646"/>
      <c r="U121" s="646"/>
      <c r="V121" s="646"/>
      <c r="W121" s="646"/>
      <c r="X121" s="646"/>
      <c r="Y121" s="646"/>
      <c r="Z121" s="646"/>
      <c r="AA121" s="646"/>
      <c r="AB121" s="646"/>
      <c r="AC121" s="646"/>
    </row>
    <row r="122" spans="2:29" ht="15.75" customHeight="1" outlineLevel="1" x14ac:dyDescent="0.45">
      <c r="B122" s="6"/>
      <c r="C122" s="305" t="s">
        <v>205</v>
      </c>
      <c r="D122" s="235" t="s">
        <v>126</v>
      </c>
      <c r="E122" s="592">
        <v>1124</v>
      </c>
      <c r="F122" s="592">
        <v>1193</v>
      </c>
      <c r="G122" s="592">
        <v>1138</v>
      </c>
      <c r="H122" s="592">
        <v>1199</v>
      </c>
      <c r="I122" s="325">
        <f>+I123*I150</f>
        <v>1236.4980046931403</v>
      </c>
      <c r="J122" s="325">
        <f>+J123*J150</f>
        <v>1284.0101787191079</v>
      </c>
      <c r="K122" s="325">
        <f t="shared" ref="K122:M122" si="59">+K123*K150</f>
        <v>1326.4402884271867</v>
      </c>
      <c r="L122" s="325">
        <f t="shared" si="59"/>
        <v>1369.5558435065709</v>
      </c>
      <c r="M122" s="325">
        <f t="shared" si="59"/>
        <v>1410.9046862558405</v>
      </c>
      <c r="O122" s="646"/>
      <c r="P122" s="646"/>
      <c r="Q122" s="646"/>
      <c r="R122" s="646"/>
      <c r="S122" s="646"/>
      <c r="T122" s="646"/>
      <c r="U122" s="646"/>
      <c r="V122" s="646"/>
      <c r="W122" s="646"/>
      <c r="X122" s="646"/>
      <c r="Y122" s="646"/>
      <c r="Z122" s="646"/>
      <c r="AA122" s="646"/>
      <c r="AB122" s="646"/>
      <c r="AC122" s="646"/>
    </row>
    <row r="123" spans="2:29" ht="15.75" customHeight="1" outlineLevel="1" x14ac:dyDescent="0.45">
      <c r="B123" s="6"/>
      <c r="C123" s="326" t="s">
        <v>262</v>
      </c>
      <c r="D123" s="235" t="s">
        <v>5</v>
      </c>
      <c r="E123" s="20">
        <f>+E122/E150</f>
        <v>2.3313214278306679E-3</v>
      </c>
      <c r="F123" s="20">
        <f>+F122/F150</f>
        <v>2.4553741409792272E-3</v>
      </c>
      <c r="G123" s="20">
        <f>+G122/G150</f>
        <v>2.2744397343422412E-3</v>
      </c>
      <c r="H123" s="20">
        <f>+H122/H150</f>
        <v>2.3308482615837715E-3</v>
      </c>
      <c r="I123" s="322">
        <f>AVERAGE(E123:H123)</f>
        <v>2.3479958911839772E-3</v>
      </c>
      <c r="J123" s="322">
        <f>+I123</f>
        <v>2.3479958911839772E-3</v>
      </c>
      <c r="K123" s="322">
        <f t="shared" ref="K123:M123" si="60">+J123</f>
        <v>2.3479958911839772E-3</v>
      </c>
      <c r="L123" s="322">
        <f t="shared" si="60"/>
        <v>2.3479958911839772E-3</v>
      </c>
      <c r="M123" s="322">
        <f t="shared" si="60"/>
        <v>2.3479958911839772E-3</v>
      </c>
      <c r="O123" s="646"/>
      <c r="P123" s="646"/>
      <c r="Q123" s="646"/>
      <c r="R123" s="646"/>
      <c r="S123" s="646"/>
      <c r="T123" s="646"/>
      <c r="U123" s="646"/>
      <c r="V123" s="646"/>
      <c r="W123" s="646"/>
      <c r="X123" s="646"/>
      <c r="Y123" s="646"/>
      <c r="Z123" s="646"/>
      <c r="AA123" s="646"/>
      <c r="AB123" s="646"/>
      <c r="AC123" s="646"/>
    </row>
    <row r="124" spans="2:29" ht="15.75" customHeight="1" outlineLevel="1" x14ac:dyDescent="0.45">
      <c r="B124" s="6"/>
      <c r="C124" s="6"/>
      <c r="D124" s="237"/>
      <c r="E124" s="237"/>
      <c r="F124" s="22"/>
      <c r="G124" s="22"/>
      <c r="H124" s="22"/>
      <c r="I124" s="22"/>
      <c r="J124" s="22"/>
      <c r="K124" s="22"/>
      <c r="L124" s="22"/>
      <c r="M124" s="22"/>
      <c r="O124" s="646"/>
      <c r="P124" s="646"/>
      <c r="Q124" s="646"/>
      <c r="R124" s="646"/>
      <c r="S124" s="646"/>
      <c r="T124" s="646"/>
      <c r="U124" s="646"/>
      <c r="V124" s="646"/>
      <c r="W124" s="646"/>
      <c r="X124" s="646"/>
      <c r="Y124" s="646"/>
      <c r="Z124" s="646"/>
      <c r="AA124" s="646"/>
      <c r="AB124" s="646"/>
      <c r="AC124" s="646"/>
    </row>
    <row r="125" spans="2:29" ht="15.75" customHeight="1" outlineLevel="1" x14ac:dyDescent="0.45">
      <c r="B125" s="6"/>
      <c r="C125" s="323" t="s">
        <v>269</v>
      </c>
      <c r="D125" s="235" t="s">
        <v>126</v>
      </c>
      <c r="E125" s="325">
        <f>+E237</f>
        <v>0</v>
      </c>
      <c r="F125" s="325">
        <f t="shared" ref="F125:H125" si="61">+F237</f>
        <v>-2463</v>
      </c>
      <c r="G125" s="325">
        <f t="shared" si="61"/>
        <v>-375</v>
      </c>
      <c r="H125" s="325">
        <f t="shared" si="61"/>
        <v>-14656</v>
      </c>
      <c r="I125" s="336">
        <v>-2000</v>
      </c>
      <c r="J125" s="336">
        <v>-2500</v>
      </c>
      <c r="K125" s="336">
        <v>-3000</v>
      </c>
      <c r="L125" s="336">
        <v>-3500</v>
      </c>
      <c r="M125" s="336">
        <v>-4000</v>
      </c>
      <c r="O125" s="646"/>
      <c r="P125" s="646"/>
      <c r="Q125" s="646"/>
      <c r="R125" s="646"/>
      <c r="S125" s="646"/>
      <c r="T125" s="646"/>
      <c r="U125" s="646"/>
      <c r="V125" s="646"/>
      <c r="W125" s="646"/>
      <c r="X125" s="646"/>
      <c r="Y125" s="646"/>
      <c r="Z125" s="646"/>
      <c r="AA125" s="646"/>
      <c r="AB125" s="646"/>
      <c r="AC125" s="646"/>
    </row>
    <row r="126" spans="2:29" ht="15.75" customHeight="1" outlineLevel="1" x14ac:dyDescent="0.45">
      <c r="B126" s="6"/>
      <c r="C126" s="323" t="s">
        <v>270</v>
      </c>
      <c r="D126" s="235" t="s">
        <v>126</v>
      </c>
      <c r="E126" s="325">
        <f t="shared" ref="E126:H126" si="62">+E238</f>
        <v>802</v>
      </c>
      <c r="F126" s="325">
        <f t="shared" si="62"/>
        <v>-814</v>
      </c>
      <c r="G126" s="325">
        <f t="shared" si="62"/>
        <v>1347</v>
      </c>
      <c r="H126" s="325">
        <f t="shared" si="62"/>
        <v>964</v>
      </c>
      <c r="I126" s="337">
        <f>AVERAGE(E126:H126)</f>
        <v>574.75</v>
      </c>
      <c r="J126" s="337">
        <f>+I126</f>
        <v>574.75</v>
      </c>
      <c r="K126" s="337">
        <f t="shared" ref="K126:M126" si="63">+J126</f>
        <v>574.75</v>
      </c>
      <c r="L126" s="337">
        <f t="shared" si="63"/>
        <v>574.75</v>
      </c>
      <c r="M126" s="337">
        <f t="shared" si="63"/>
        <v>574.75</v>
      </c>
      <c r="O126" s="646"/>
      <c r="P126" s="646"/>
      <c r="Q126" s="646"/>
      <c r="R126" s="646"/>
      <c r="S126" s="646"/>
      <c r="T126" s="646"/>
      <c r="U126" s="646"/>
      <c r="V126" s="646"/>
      <c r="W126" s="646"/>
      <c r="X126" s="646"/>
      <c r="Y126" s="646"/>
      <c r="Z126" s="646"/>
      <c r="AA126" s="646"/>
      <c r="AB126" s="646"/>
      <c r="AC126" s="646"/>
    </row>
    <row r="127" spans="2:29" ht="15.75" customHeight="1" outlineLevel="1" x14ac:dyDescent="0.45">
      <c r="B127" s="6"/>
      <c r="C127" s="6"/>
      <c r="D127" s="237"/>
      <c r="E127" s="237"/>
      <c r="F127" s="22"/>
      <c r="G127" s="22"/>
      <c r="H127" s="22"/>
      <c r="I127" s="22"/>
      <c r="J127" s="22"/>
      <c r="K127" s="22"/>
      <c r="L127" s="22"/>
      <c r="M127" s="22"/>
      <c r="O127" s="646"/>
      <c r="P127" s="646"/>
      <c r="Q127" s="646"/>
      <c r="R127" s="646"/>
      <c r="S127" s="646"/>
      <c r="T127" s="646"/>
      <c r="U127" s="646"/>
      <c r="V127" s="646"/>
      <c r="W127" s="646"/>
      <c r="X127" s="646"/>
      <c r="Y127" s="646"/>
      <c r="Z127" s="646"/>
      <c r="AA127" s="646"/>
      <c r="AB127" s="646"/>
      <c r="AC127" s="646"/>
    </row>
    <row r="128" spans="2:29" ht="15.75" customHeight="1" outlineLevel="1" x14ac:dyDescent="0.45">
      <c r="B128" s="6"/>
      <c r="C128" s="338" t="s">
        <v>292</v>
      </c>
      <c r="D128" s="235" t="s">
        <v>5</v>
      </c>
      <c r="E128" s="330">
        <f>+E180/(E150-E153)</f>
        <v>1.9005512799519678E-2</v>
      </c>
      <c r="F128" s="330">
        <f>+F180/(F150-F153)</f>
        <v>1.5024540658894558E-2</v>
      </c>
      <c r="G128" s="330">
        <f>+G180/(G150-G153)</f>
        <v>1.4227786274812151E-2</v>
      </c>
      <c r="H128" s="330">
        <f>+H180/(H150-H153)</f>
        <v>1.5376242770810318E-2</v>
      </c>
      <c r="I128" s="322">
        <f>AVERAGE(E128:H128)</f>
        <v>1.5908520626009177E-2</v>
      </c>
      <c r="J128" s="322">
        <f>+I128</f>
        <v>1.5908520626009177E-2</v>
      </c>
      <c r="K128" s="322">
        <f t="shared" ref="K128:M128" si="64">+J128</f>
        <v>1.5908520626009177E-2</v>
      </c>
      <c r="L128" s="322">
        <f t="shared" si="64"/>
        <v>1.5908520626009177E-2</v>
      </c>
      <c r="M128" s="322">
        <f t="shared" si="64"/>
        <v>1.5908520626009177E-2</v>
      </c>
      <c r="O128" s="646"/>
      <c r="P128" s="646"/>
      <c r="Q128" s="646"/>
      <c r="R128" s="646"/>
      <c r="S128" s="646"/>
      <c r="T128" s="646"/>
      <c r="U128" s="646"/>
      <c r="V128" s="646"/>
      <c r="W128" s="646"/>
      <c r="X128" s="646"/>
      <c r="Y128" s="646"/>
      <c r="Z128" s="646"/>
      <c r="AA128" s="646"/>
      <c r="AB128" s="646"/>
      <c r="AC128" s="646"/>
    </row>
    <row r="129" spans="2:29" ht="15.75" customHeight="1" outlineLevel="1" x14ac:dyDescent="0.45">
      <c r="B129" s="6"/>
      <c r="C129" s="338" t="s">
        <v>293</v>
      </c>
      <c r="D129" s="235" t="s">
        <v>126</v>
      </c>
      <c r="E129" s="237"/>
      <c r="F129" s="22"/>
      <c r="G129" s="22"/>
      <c r="H129" s="22"/>
      <c r="I129" s="325">
        <f>+I128*(I150-I153)</f>
        <v>8036.0074866535979</v>
      </c>
      <c r="J129" s="325">
        <f>+J128*(J150-J153)</f>
        <v>8353.017927154051</v>
      </c>
      <c r="K129" s="325">
        <f>+K128*(K150-K153)</f>
        <v>8636.3261432397467</v>
      </c>
      <c r="L129" s="325">
        <f>+L128*(L150-L153)</f>
        <v>8923.3443774630723</v>
      </c>
      <c r="M129" s="325">
        <f>+M128*(M150-M153)</f>
        <v>9193.0064785918385</v>
      </c>
      <c r="O129" s="646"/>
      <c r="P129" s="646"/>
      <c r="Q129" s="646"/>
      <c r="R129" s="646"/>
      <c r="S129" s="646"/>
      <c r="T129" s="646"/>
      <c r="U129" s="646"/>
      <c r="V129" s="646"/>
      <c r="W129" s="646"/>
      <c r="X129" s="646"/>
      <c r="Y129" s="646"/>
      <c r="Z129" s="646"/>
      <c r="AA129" s="646"/>
      <c r="AB129" s="646"/>
      <c r="AC129" s="646"/>
    </row>
    <row r="130" spans="2:29" ht="15.75" customHeight="1" outlineLevel="1" x14ac:dyDescent="0.45">
      <c r="B130" s="6"/>
      <c r="C130" s="338"/>
      <c r="D130" s="235"/>
      <c r="E130" s="237"/>
      <c r="F130" s="22"/>
      <c r="G130" s="22"/>
      <c r="H130" s="22"/>
      <c r="I130" s="325"/>
      <c r="J130" s="325"/>
      <c r="K130" s="325"/>
      <c r="L130" s="325"/>
      <c r="M130" s="325"/>
      <c r="O130" s="646"/>
      <c r="P130" s="646"/>
      <c r="Q130" s="646"/>
      <c r="R130" s="646"/>
      <c r="S130" s="646"/>
      <c r="T130" s="646"/>
      <c r="U130" s="646"/>
      <c r="V130" s="646"/>
      <c r="W130" s="646"/>
      <c r="X130" s="646"/>
      <c r="Y130" s="646"/>
      <c r="Z130" s="646"/>
      <c r="AA130" s="646"/>
      <c r="AB130" s="646"/>
      <c r="AC130" s="646"/>
    </row>
    <row r="131" spans="2:29" ht="15.75" customHeight="1" outlineLevel="1" x14ac:dyDescent="0.45">
      <c r="B131" s="6"/>
      <c r="C131" s="338" t="s">
        <v>295</v>
      </c>
      <c r="D131" s="235" t="s">
        <v>126</v>
      </c>
      <c r="E131" s="237"/>
      <c r="F131" s="22"/>
      <c r="G131" s="22"/>
      <c r="H131" s="22"/>
      <c r="I131" s="325">
        <f>+H256+I233+I239+I242+SUM(I244:I249)+I252</f>
        <v>3928.8984593636505</v>
      </c>
      <c r="J131" s="325">
        <f t="shared" ref="J131:M131" si="65">+I256+J233+J239+J242+SUM(J244:J249)+J252</f>
        <v>2313.594455222903</v>
      </c>
      <c r="K131" s="325">
        <f t="shared" si="65"/>
        <v>1333.0445140872439</v>
      </c>
      <c r="L131" s="325">
        <f t="shared" si="65"/>
        <v>470.04713868198752</v>
      </c>
      <c r="M131" s="325">
        <f t="shared" si="65"/>
        <v>114.7720060782853</v>
      </c>
      <c r="O131" s="646"/>
      <c r="P131" s="646"/>
      <c r="Q131" s="646"/>
      <c r="R131" s="646"/>
      <c r="S131" s="646"/>
      <c r="T131" s="646"/>
      <c r="U131" s="646"/>
      <c r="V131" s="646"/>
      <c r="W131" s="646"/>
      <c r="X131" s="646"/>
      <c r="Y131" s="646"/>
      <c r="Z131" s="646"/>
      <c r="AA131" s="646"/>
      <c r="AB131" s="646"/>
      <c r="AC131" s="646"/>
    </row>
    <row r="132" spans="2:29" ht="15.75" customHeight="1" outlineLevel="1" x14ac:dyDescent="0.45">
      <c r="B132" s="6"/>
      <c r="C132" s="338" t="s">
        <v>294</v>
      </c>
      <c r="D132" s="235" t="s">
        <v>126</v>
      </c>
      <c r="E132" s="237"/>
      <c r="F132" s="22"/>
      <c r="G132" s="22"/>
      <c r="H132" s="22"/>
      <c r="I132" s="325">
        <f>MAX(I129-I131,0)</f>
        <v>4107.1090272899473</v>
      </c>
      <c r="J132" s="325">
        <f t="shared" ref="J132:M132" si="66">MAX(J129-J131,0)</f>
        <v>6039.423471931148</v>
      </c>
      <c r="K132" s="325">
        <f t="shared" si="66"/>
        <v>7303.2816291525032</v>
      </c>
      <c r="L132" s="325">
        <f t="shared" si="66"/>
        <v>8453.2972387810842</v>
      </c>
      <c r="M132" s="325">
        <f t="shared" si="66"/>
        <v>9078.2344725135536</v>
      </c>
      <c r="O132" s="646"/>
      <c r="P132" s="646"/>
      <c r="Q132" s="646"/>
      <c r="R132" s="646"/>
      <c r="S132" s="646"/>
      <c r="T132" s="646"/>
      <c r="U132" s="646"/>
      <c r="V132" s="646"/>
      <c r="W132" s="646"/>
      <c r="X132" s="646"/>
      <c r="Y132" s="646"/>
      <c r="Z132" s="646"/>
      <c r="AA132" s="646"/>
      <c r="AB132" s="646"/>
      <c r="AC132" s="646"/>
    </row>
    <row r="133" spans="2:29" ht="15.75" customHeight="1" outlineLevel="1" x14ac:dyDescent="0.45">
      <c r="B133" s="6"/>
      <c r="C133" s="6"/>
      <c r="D133" s="237"/>
      <c r="E133" s="237"/>
      <c r="F133" s="22"/>
      <c r="G133" s="22"/>
      <c r="H133" s="22"/>
      <c r="I133" s="22"/>
      <c r="J133" s="22"/>
      <c r="K133" s="22"/>
      <c r="L133" s="22"/>
      <c r="M133" s="22"/>
      <c r="O133" s="646"/>
      <c r="P133" s="646"/>
      <c r="Q133" s="646"/>
      <c r="R133" s="646"/>
      <c r="S133" s="646"/>
      <c r="T133" s="646"/>
      <c r="U133" s="646"/>
      <c r="V133" s="646"/>
      <c r="W133" s="646"/>
      <c r="X133" s="646"/>
      <c r="Y133" s="646"/>
      <c r="Z133" s="646"/>
      <c r="AA133" s="646"/>
      <c r="AB133" s="646"/>
      <c r="AC133" s="646"/>
    </row>
    <row r="134" spans="2:29" ht="15.75" customHeight="1" outlineLevel="1" x14ac:dyDescent="0.45">
      <c r="B134" s="6"/>
      <c r="C134" s="323" t="s">
        <v>273</v>
      </c>
      <c r="D134" s="235" t="s">
        <v>126</v>
      </c>
      <c r="E134" s="325">
        <f>+E242</f>
        <v>-4112</v>
      </c>
      <c r="F134" s="325">
        <f t="shared" ref="F134:H134" si="67">+F242</f>
        <v>-8298</v>
      </c>
      <c r="G134" s="325">
        <f t="shared" si="67"/>
        <v>-8296</v>
      </c>
      <c r="H134" s="325">
        <f t="shared" si="67"/>
        <v>-7410</v>
      </c>
      <c r="I134" s="336">
        <v>-5000</v>
      </c>
      <c r="J134" s="336">
        <v>-5250</v>
      </c>
      <c r="K134" s="336">
        <v>-5500</v>
      </c>
      <c r="L134" s="336">
        <v>-5750</v>
      </c>
      <c r="M134" s="336">
        <v>-6000</v>
      </c>
      <c r="O134" s="646"/>
      <c r="P134" s="646"/>
      <c r="Q134" s="646"/>
      <c r="R134" s="646"/>
      <c r="S134" s="646"/>
      <c r="T134" s="646"/>
      <c r="U134" s="646"/>
      <c r="V134" s="646"/>
      <c r="W134" s="646"/>
      <c r="X134" s="646"/>
      <c r="Y134" s="646"/>
      <c r="Z134" s="646"/>
      <c r="AA134" s="646"/>
      <c r="AB134" s="646"/>
      <c r="AC134" s="646"/>
    </row>
    <row r="135" spans="2:29" ht="15.75" customHeight="1" outlineLevel="1" x14ac:dyDescent="0.45">
      <c r="B135" s="6"/>
      <c r="C135" s="338" t="s">
        <v>277</v>
      </c>
      <c r="D135" s="235" t="s">
        <v>126</v>
      </c>
      <c r="E135" s="325">
        <f>+E244</f>
        <v>-4432</v>
      </c>
      <c r="F135" s="325">
        <f t="shared" ref="F135:H135" si="68">+F244</f>
        <v>-3728</v>
      </c>
      <c r="G135" s="325">
        <f t="shared" si="68"/>
        <v>-13061</v>
      </c>
      <c r="H135" s="325">
        <f t="shared" si="68"/>
        <v>-3837</v>
      </c>
      <c r="I135" s="336">
        <v>-7500</v>
      </c>
      <c r="J135" s="336">
        <v>-8000</v>
      </c>
      <c r="K135" s="336">
        <v>-8500</v>
      </c>
      <c r="L135" s="336">
        <v>-9000</v>
      </c>
      <c r="M135" s="336">
        <v>-9000</v>
      </c>
      <c r="O135" s="646"/>
      <c r="P135" s="646"/>
      <c r="Q135" s="646"/>
      <c r="R135" s="646"/>
      <c r="S135" s="646"/>
      <c r="T135" s="646"/>
      <c r="U135" s="646"/>
      <c r="V135" s="646"/>
      <c r="W135" s="646"/>
      <c r="X135" s="646"/>
      <c r="Y135" s="646"/>
      <c r="Z135" s="646"/>
      <c r="AA135" s="646"/>
      <c r="AB135" s="646"/>
      <c r="AC135" s="646"/>
    </row>
    <row r="136" spans="2:29" ht="15.75" customHeight="1" outlineLevel="1" x14ac:dyDescent="0.45">
      <c r="B136" s="6"/>
      <c r="C136" s="323"/>
      <c r="D136" s="237"/>
      <c r="E136" s="237"/>
      <c r="F136" s="22"/>
      <c r="G136" s="22"/>
      <c r="H136" s="22"/>
      <c r="I136" s="22"/>
      <c r="J136" s="22"/>
      <c r="K136" s="22"/>
      <c r="L136" s="22"/>
      <c r="M136" s="22"/>
      <c r="O136" s="646"/>
      <c r="P136" s="646"/>
      <c r="Q136" s="646"/>
      <c r="R136" s="646"/>
      <c r="S136" s="646"/>
      <c r="T136" s="646"/>
      <c r="U136" s="646"/>
      <c r="V136" s="646"/>
      <c r="W136" s="646"/>
      <c r="X136" s="646"/>
      <c r="Y136" s="646"/>
      <c r="Z136" s="646"/>
      <c r="AA136" s="646"/>
      <c r="AB136" s="646"/>
      <c r="AC136" s="646"/>
    </row>
    <row r="137" spans="2:29" ht="15.75" customHeight="1" outlineLevel="1" x14ac:dyDescent="0.45">
      <c r="B137" s="6"/>
      <c r="C137" s="338" t="s">
        <v>282</v>
      </c>
      <c r="D137" s="235" t="s">
        <v>5</v>
      </c>
      <c r="E137" s="20">
        <f>-E246/E166</f>
        <v>0.41737400530503976</v>
      </c>
      <c r="F137" s="20">
        <f>-F246/F166</f>
        <v>0.43489820191702233</v>
      </c>
      <c r="G137" s="20">
        <f>-G246/G166</f>
        <v>0.58196331844531024</v>
      </c>
      <c r="H137" s="20">
        <f>-H246/H166</f>
        <v>0.84997910572503133</v>
      </c>
      <c r="I137" s="322">
        <f>AVERAGE(E137:F137)</f>
        <v>0.42613610361103105</v>
      </c>
      <c r="J137" s="322">
        <f>+I137</f>
        <v>0.42613610361103105</v>
      </c>
      <c r="K137" s="322">
        <f t="shared" ref="K137:M137" si="69">+J137</f>
        <v>0.42613610361103105</v>
      </c>
      <c r="L137" s="322">
        <f t="shared" si="69"/>
        <v>0.42613610361103105</v>
      </c>
      <c r="M137" s="322">
        <f t="shared" si="69"/>
        <v>0.42613610361103105</v>
      </c>
      <c r="O137" s="646"/>
      <c r="P137" s="646"/>
      <c r="Q137" s="646"/>
      <c r="R137" s="646"/>
      <c r="S137" s="646"/>
      <c r="T137" s="646"/>
      <c r="U137" s="646"/>
      <c r="V137" s="646"/>
      <c r="W137" s="646"/>
      <c r="X137" s="646"/>
      <c r="Y137" s="646"/>
      <c r="Z137" s="646"/>
      <c r="AA137" s="646"/>
      <c r="AB137" s="646"/>
      <c r="AC137" s="646"/>
    </row>
    <row r="138" spans="2:29" ht="15.75" customHeight="1" outlineLevel="1" x14ac:dyDescent="0.45">
      <c r="B138" s="6"/>
      <c r="C138" s="338" t="s">
        <v>287</v>
      </c>
      <c r="D138" s="235" t="s">
        <v>5</v>
      </c>
      <c r="E138" s="20">
        <f>+E247/E167</f>
        <v>1.8626943005181347</v>
      </c>
      <c r="F138" s="20">
        <f>+F247/F167</f>
        <v>0.7369230769230769</v>
      </c>
      <c r="G138" s="20">
        <f>+G247/G167</f>
        <v>1.0438729198184569</v>
      </c>
      <c r="H138" s="20">
        <f>+H247/H167</f>
        <v>0.8467583497053045</v>
      </c>
      <c r="I138" s="322">
        <f>AVERAGE(F138:H138)</f>
        <v>0.87585144881561272</v>
      </c>
      <c r="J138" s="322">
        <f>+I138</f>
        <v>0.87585144881561272</v>
      </c>
      <c r="K138" s="322">
        <f t="shared" ref="K138:M138" si="70">+J138</f>
        <v>0.87585144881561272</v>
      </c>
      <c r="L138" s="322">
        <f t="shared" si="70"/>
        <v>0.87585144881561272</v>
      </c>
      <c r="M138" s="322">
        <f t="shared" si="70"/>
        <v>0.87585144881561272</v>
      </c>
      <c r="O138" s="646"/>
      <c r="P138" s="646"/>
      <c r="Q138" s="646"/>
      <c r="R138" s="646"/>
      <c r="S138" s="646"/>
      <c r="T138" s="646"/>
      <c r="U138" s="646"/>
      <c r="V138" s="646"/>
      <c r="W138" s="646"/>
      <c r="X138" s="646"/>
      <c r="Y138" s="646"/>
      <c r="Z138" s="646"/>
      <c r="AA138" s="646"/>
      <c r="AB138" s="646"/>
      <c r="AC138" s="646"/>
    </row>
    <row r="139" spans="2:29" ht="15.75" customHeight="1" outlineLevel="1" x14ac:dyDescent="0.45">
      <c r="B139" s="6"/>
      <c r="C139" s="323"/>
      <c r="D139" s="237"/>
      <c r="E139" s="237"/>
      <c r="F139" s="22"/>
      <c r="G139" s="22"/>
      <c r="H139" s="22"/>
      <c r="I139" s="22"/>
      <c r="J139" s="22"/>
      <c r="K139" s="22"/>
      <c r="L139" s="22"/>
      <c r="M139" s="22"/>
      <c r="O139" s="646"/>
      <c r="P139" s="646"/>
      <c r="Q139" s="646"/>
      <c r="R139" s="646"/>
      <c r="S139" s="646"/>
      <c r="T139" s="646"/>
      <c r="U139" s="646"/>
      <c r="V139" s="646"/>
      <c r="W139" s="646"/>
      <c r="X139" s="646"/>
      <c r="Y139" s="646"/>
      <c r="Z139" s="646"/>
      <c r="AA139" s="646"/>
      <c r="AB139" s="646"/>
      <c r="AC139" s="646"/>
    </row>
    <row r="140" spans="2:29" ht="15.75" customHeight="1" outlineLevel="1" x14ac:dyDescent="0.45">
      <c r="B140" s="6"/>
      <c r="C140" s="323" t="s">
        <v>271</v>
      </c>
      <c r="D140" s="235" t="s">
        <v>126</v>
      </c>
      <c r="E140" s="325">
        <f>+E248</f>
        <v>-1326</v>
      </c>
      <c r="F140" s="325">
        <f t="shared" ref="F140:H140" si="71">+F248</f>
        <v>-90</v>
      </c>
      <c r="G140" s="325">
        <f t="shared" si="71"/>
        <v>-8</v>
      </c>
      <c r="H140" s="325">
        <f t="shared" si="71"/>
        <v>0</v>
      </c>
      <c r="I140" s="336">
        <v>0</v>
      </c>
      <c r="J140" s="337">
        <f>+I140</f>
        <v>0</v>
      </c>
      <c r="K140" s="337">
        <f t="shared" ref="K140:M140" si="72">+J140</f>
        <v>0</v>
      </c>
      <c r="L140" s="337">
        <f t="shared" si="72"/>
        <v>0</v>
      </c>
      <c r="M140" s="337">
        <f t="shared" si="72"/>
        <v>0</v>
      </c>
      <c r="O140" s="646"/>
      <c r="P140" s="646"/>
      <c r="Q140" s="646"/>
      <c r="R140" s="646"/>
      <c r="S140" s="646"/>
      <c r="T140" s="646"/>
      <c r="U140" s="646"/>
      <c r="V140" s="646"/>
      <c r="W140" s="646"/>
      <c r="X140" s="646"/>
      <c r="Y140" s="646"/>
      <c r="Z140" s="646"/>
      <c r="AA140" s="646"/>
      <c r="AB140" s="646"/>
      <c r="AC140" s="646"/>
    </row>
    <row r="141" spans="2:29" ht="15.75" customHeight="1" outlineLevel="1" x14ac:dyDescent="0.45">
      <c r="B141" s="6"/>
      <c r="C141" s="323" t="s">
        <v>272</v>
      </c>
      <c r="D141" s="235" t="s">
        <v>126</v>
      </c>
      <c r="E141" s="325">
        <f t="shared" ref="E141:H141" si="73">+E249</f>
        <v>-676</v>
      </c>
      <c r="F141" s="325">
        <f t="shared" si="73"/>
        <v>-398</v>
      </c>
      <c r="G141" s="325">
        <f t="shared" si="73"/>
        <v>-3320</v>
      </c>
      <c r="H141" s="325">
        <f t="shared" si="73"/>
        <v>-629</v>
      </c>
      <c r="I141" s="337">
        <f>AVERAGE(E141:F141,H141)</f>
        <v>-567.66666666666663</v>
      </c>
      <c r="J141" s="337">
        <f>+I141</f>
        <v>-567.66666666666663</v>
      </c>
      <c r="K141" s="337">
        <f t="shared" ref="K141:M141" si="74">+J141</f>
        <v>-567.66666666666663</v>
      </c>
      <c r="L141" s="337">
        <f t="shared" si="74"/>
        <v>-567.66666666666663</v>
      </c>
      <c r="M141" s="337">
        <f t="shared" si="74"/>
        <v>-567.66666666666663</v>
      </c>
      <c r="O141" s="646"/>
      <c r="P141" s="646"/>
      <c r="Q141" s="646"/>
      <c r="R141" s="646"/>
      <c r="S141" s="646"/>
      <c r="T141" s="646"/>
      <c r="U141" s="646"/>
      <c r="V141" s="646"/>
      <c r="W141" s="646"/>
      <c r="X141" s="646"/>
      <c r="Y141" s="646"/>
      <c r="Z141" s="646"/>
      <c r="AA141" s="646"/>
      <c r="AB141" s="646"/>
      <c r="AC141" s="646"/>
    </row>
    <row r="142" spans="2:29" ht="15.75" customHeight="1" outlineLevel="1" x14ac:dyDescent="0.45">
      <c r="B142" s="6"/>
      <c r="C142" s="323"/>
      <c r="D142" s="237"/>
      <c r="E142" s="237"/>
      <c r="F142" s="22"/>
      <c r="G142" s="22"/>
      <c r="H142" s="22"/>
      <c r="I142" s="22"/>
      <c r="J142" s="22"/>
      <c r="K142" s="22"/>
      <c r="L142" s="22"/>
      <c r="M142" s="22"/>
      <c r="O142" s="646"/>
      <c r="P142" s="646"/>
      <c r="Q142" s="646"/>
      <c r="R142" s="646"/>
      <c r="S142" s="646"/>
      <c r="T142" s="646"/>
      <c r="U142" s="646"/>
      <c r="V142" s="646"/>
      <c r="W142" s="646"/>
      <c r="X142" s="646"/>
      <c r="Y142" s="646"/>
      <c r="Z142" s="646"/>
      <c r="AA142" s="646"/>
      <c r="AB142" s="646"/>
      <c r="AC142" s="646"/>
    </row>
    <row r="143" spans="2:29" ht="15.75" customHeight="1" outlineLevel="1" x14ac:dyDescent="0.45">
      <c r="B143" s="6"/>
      <c r="C143" s="338" t="s">
        <v>274</v>
      </c>
      <c r="D143" s="235" t="s">
        <v>5</v>
      </c>
      <c r="E143" s="20">
        <f>+E252/E150</f>
        <v>-2.1197602306431873E-3</v>
      </c>
      <c r="F143" s="20">
        <f>+F252/F150</f>
        <v>-9.3028425123437605E-4</v>
      </c>
      <c r="G143" s="20">
        <f>+G252/G150</f>
        <v>9.7333229404628421E-4</v>
      </c>
      <c r="H143" s="20">
        <f>+H252/H150</f>
        <v>-8.5146917312234522E-4</v>
      </c>
      <c r="I143" s="322">
        <f>AVERAGE(E143:H143)</f>
        <v>-7.320453402384061E-4</v>
      </c>
      <c r="J143" s="322">
        <f>+I143</f>
        <v>-7.320453402384061E-4</v>
      </c>
      <c r="K143" s="322">
        <f t="shared" ref="K143:M143" si="75">+J143</f>
        <v>-7.320453402384061E-4</v>
      </c>
      <c r="L143" s="322">
        <f t="shared" si="75"/>
        <v>-7.320453402384061E-4</v>
      </c>
      <c r="M143" s="322">
        <f t="shared" si="75"/>
        <v>-7.320453402384061E-4</v>
      </c>
      <c r="O143" s="646"/>
      <c r="P143" s="646"/>
      <c r="Q143" s="646"/>
      <c r="R143" s="646"/>
      <c r="S143" s="646"/>
      <c r="T143" s="646"/>
      <c r="U143" s="646"/>
      <c r="V143" s="646"/>
      <c r="W143" s="646"/>
      <c r="X143" s="646"/>
      <c r="Y143" s="646"/>
      <c r="Z143" s="646"/>
      <c r="AA143" s="646"/>
      <c r="AB143" s="646"/>
      <c r="AC143" s="646"/>
    </row>
    <row r="144" spans="2:29" ht="15.75" customHeight="1" x14ac:dyDescent="0.45">
      <c r="C144" s="23"/>
      <c r="F144" s="24"/>
      <c r="G144" s="24"/>
      <c r="H144" s="24"/>
      <c r="I144" s="24"/>
      <c r="J144" s="24"/>
      <c r="K144" s="24"/>
      <c r="L144" s="24"/>
      <c r="M144" s="24"/>
      <c r="O144" s="646"/>
      <c r="P144" s="646"/>
      <c r="Q144" s="646"/>
      <c r="R144" s="646"/>
      <c r="S144" s="646"/>
      <c r="T144" s="646"/>
      <c r="U144" s="646"/>
      <c r="V144" s="646"/>
      <c r="W144" s="646"/>
      <c r="X144" s="646"/>
      <c r="Y144" s="646"/>
      <c r="Z144" s="646"/>
      <c r="AA144" s="646"/>
      <c r="AB144" s="646"/>
      <c r="AC144" s="646"/>
    </row>
    <row r="145" spans="2:29" x14ac:dyDescent="0.45">
      <c r="B145" s="11"/>
      <c r="C145" s="11"/>
      <c r="D145" s="12"/>
      <c r="E145" s="13" t="str">
        <f>$E$19</f>
        <v>Historical:</v>
      </c>
      <c r="F145" s="13"/>
      <c r="G145" s="13"/>
      <c r="H145" s="14"/>
      <c r="I145" s="13" t="str">
        <f>$I$19</f>
        <v>Projected:</v>
      </c>
      <c r="J145" s="13"/>
      <c r="K145" s="13"/>
      <c r="L145" s="13"/>
      <c r="M145" s="13"/>
      <c r="O145" s="646"/>
      <c r="P145" s="653"/>
      <c r="Q145" s="646"/>
      <c r="R145" s="646"/>
      <c r="S145" s="646"/>
      <c r="T145" s="646"/>
      <c r="U145" s="646"/>
      <c r="V145" s="646"/>
      <c r="W145" s="646"/>
      <c r="X145" s="646"/>
      <c r="Y145" s="646"/>
      <c r="Z145" s="646"/>
      <c r="AA145" s="646"/>
      <c r="AB145" s="646"/>
      <c r="AC145" s="646"/>
    </row>
    <row r="146" spans="2:29" x14ac:dyDescent="0.45">
      <c r="B146" s="233" t="s">
        <v>201</v>
      </c>
      <c r="C146" s="233"/>
      <c r="D146" s="234"/>
      <c r="E146" s="16">
        <f>$E$20</f>
        <v>42400</v>
      </c>
      <c r="F146" s="16">
        <f>$F$20</f>
        <v>42766</v>
      </c>
      <c r="G146" s="16">
        <f>$G$20</f>
        <v>43131</v>
      </c>
      <c r="H146" s="17">
        <f>$H$20</f>
        <v>43496</v>
      </c>
      <c r="I146" s="16">
        <f>$I$20</f>
        <v>43861</v>
      </c>
      <c r="J146" s="16">
        <f>$J$20</f>
        <v>44227</v>
      </c>
      <c r="K146" s="16">
        <f>$K$20</f>
        <v>44592</v>
      </c>
      <c r="L146" s="16">
        <f>$L$20</f>
        <v>44957</v>
      </c>
      <c r="M146" s="16">
        <f>$M$20</f>
        <v>45322</v>
      </c>
      <c r="O146" s="646"/>
      <c r="P146" s="348"/>
      <c r="Q146" s="646"/>
      <c r="R146" s="646"/>
      <c r="S146" s="646"/>
      <c r="T146" s="646"/>
      <c r="U146" s="646"/>
      <c r="V146" s="646"/>
      <c r="W146" s="646"/>
      <c r="X146" s="646"/>
      <c r="Y146" s="646"/>
      <c r="Z146" s="646"/>
      <c r="AA146" s="646"/>
      <c r="AB146" s="646"/>
      <c r="AC146" s="646"/>
    </row>
    <row r="147" spans="2:29" outlineLevel="1" x14ac:dyDescent="0.45">
      <c r="C147" s="6" t="s">
        <v>4</v>
      </c>
      <c r="O147" s="646"/>
      <c r="P147" s="646"/>
      <c r="Q147" s="646"/>
      <c r="R147" s="646"/>
      <c r="S147" s="646"/>
      <c r="T147" s="646"/>
      <c r="U147" s="646"/>
      <c r="V147" s="646"/>
      <c r="W147" s="646"/>
      <c r="X147" s="646"/>
      <c r="Y147" s="646"/>
      <c r="Z147" s="646"/>
      <c r="AA147" s="646"/>
      <c r="AB147" s="646"/>
      <c r="AC147" s="646"/>
    </row>
    <row r="148" spans="2:29" outlineLevel="1" x14ac:dyDescent="0.45">
      <c r="C148" s="583" t="s">
        <v>455</v>
      </c>
      <c r="D148" s="235" t="s">
        <v>126</v>
      </c>
      <c r="E148" s="302">
        <f t="shared" ref="E148:M148" si="76">+E22+E45+E68</f>
        <v>478614</v>
      </c>
      <c r="F148" s="302">
        <f t="shared" si="76"/>
        <v>481317</v>
      </c>
      <c r="G148" s="302">
        <f t="shared" si="76"/>
        <v>495761</v>
      </c>
      <c r="H148" s="302">
        <f t="shared" si="76"/>
        <v>510329</v>
      </c>
      <c r="I148" s="302">
        <f t="shared" si="76"/>
        <v>522338.67038822378</v>
      </c>
      <c r="J148" s="302">
        <f t="shared" si="76"/>
        <v>542402.68161168834</v>
      </c>
      <c r="K148" s="302">
        <f t="shared" si="76"/>
        <v>560295.41874496604</v>
      </c>
      <c r="L148" s="302">
        <f t="shared" si="76"/>
        <v>578519.2524488928</v>
      </c>
      <c r="M148" s="302">
        <f t="shared" si="76"/>
        <v>595986.48585832457</v>
      </c>
      <c r="O148" s="646"/>
      <c r="P148" s="646"/>
      <c r="Q148" s="646"/>
      <c r="R148" s="646"/>
      <c r="S148" s="646"/>
      <c r="T148" s="646"/>
      <c r="U148" s="646"/>
      <c r="V148" s="646"/>
      <c r="W148" s="646"/>
      <c r="X148" s="646"/>
      <c r="Y148" s="646"/>
      <c r="Z148" s="646"/>
      <c r="AA148" s="646"/>
      <c r="AB148" s="646"/>
      <c r="AC148" s="646"/>
    </row>
    <row r="149" spans="2:29" outlineLevel="1" x14ac:dyDescent="0.45">
      <c r="C149" s="341" t="s">
        <v>278</v>
      </c>
      <c r="D149" s="310" t="s">
        <v>126</v>
      </c>
      <c r="E149" s="592">
        <v>3516</v>
      </c>
      <c r="F149" s="592">
        <v>4556</v>
      </c>
      <c r="G149" s="592">
        <v>4582</v>
      </c>
      <c r="H149" s="592">
        <v>4076</v>
      </c>
      <c r="I149" s="325">
        <f>+H149*(1+I96)</f>
        <v>4279.8</v>
      </c>
      <c r="J149" s="325">
        <f>+I149*(1+J96)</f>
        <v>4450.9920000000002</v>
      </c>
      <c r="K149" s="325">
        <f>+J149*(1+K96)</f>
        <v>4629.0316800000001</v>
      </c>
      <c r="L149" s="325">
        <f>+K149*(1+L96)</f>
        <v>4767.9026303999999</v>
      </c>
      <c r="M149" s="325">
        <f>+L149*(1+M96)</f>
        <v>4910.9397093119996</v>
      </c>
      <c r="O149" s="646"/>
      <c r="P149" s="646"/>
      <c r="Q149" s="646"/>
      <c r="R149" s="646"/>
      <c r="S149" s="646"/>
      <c r="T149" s="646"/>
      <c r="U149" s="646"/>
      <c r="V149" s="646"/>
      <c r="W149" s="646"/>
      <c r="X149" s="646"/>
      <c r="Y149" s="646"/>
      <c r="Z149" s="646"/>
      <c r="AA149" s="646"/>
      <c r="AB149" s="646"/>
      <c r="AC149" s="646"/>
    </row>
    <row r="150" spans="2:29" outlineLevel="1" x14ac:dyDescent="0.45">
      <c r="C150" s="307" t="s">
        <v>202</v>
      </c>
      <c r="D150" s="235" t="s">
        <v>126</v>
      </c>
      <c r="E150" s="334">
        <f>SUM(E148:E149)</f>
        <v>482130</v>
      </c>
      <c r="F150" s="334">
        <f t="shared" ref="F150:M150" si="77">SUM(F148:F149)</f>
        <v>485873</v>
      </c>
      <c r="G150" s="334">
        <f t="shared" si="77"/>
        <v>500343</v>
      </c>
      <c r="H150" s="334">
        <f t="shared" si="77"/>
        <v>514405</v>
      </c>
      <c r="I150" s="334">
        <f t="shared" si="77"/>
        <v>526618.47038822377</v>
      </c>
      <c r="J150" s="334">
        <f t="shared" si="77"/>
        <v>546853.67361168831</v>
      </c>
      <c r="K150" s="334">
        <f t="shared" si="77"/>
        <v>564924.45042496605</v>
      </c>
      <c r="L150" s="334">
        <f t="shared" si="77"/>
        <v>583287.15507929283</v>
      </c>
      <c r="M150" s="334">
        <f t="shared" si="77"/>
        <v>600897.42556763662</v>
      </c>
      <c r="O150" s="646"/>
      <c r="P150" s="646"/>
      <c r="Q150" s="646"/>
      <c r="R150" s="646"/>
      <c r="S150" s="646"/>
      <c r="T150" s="646"/>
      <c r="U150" s="646"/>
      <c r="V150" s="646"/>
      <c r="W150" s="646"/>
      <c r="X150" s="646"/>
      <c r="Y150" s="646"/>
      <c r="Z150" s="646"/>
      <c r="AA150" s="646"/>
      <c r="AB150" s="646"/>
      <c r="AC150" s="646"/>
    </row>
    <row r="151" spans="2:29" outlineLevel="1" x14ac:dyDescent="0.45">
      <c r="C151" s="236" t="s">
        <v>6</v>
      </c>
      <c r="D151" s="235" t="s">
        <v>5</v>
      </c>
      <c r="E151" s="485" t="str">
        <f>IFERROR(+E150/D150-1,"N/A")</f>
        <v>N/A</v>
      </c>
      <c r="F151" s="485">
        <f t="shared" ref="F151:M151" si="78">IFERROR(+F150/E150-1,"N/A")</f>
        <v>7.7634662850267766E-3</v>
      </c>
      <c r="G151" s="485">
        <f t="shared" si="78"/>
        <v>2.9781444945489843E-2</v>
      </c>
      <c r="H151" s="485">
        <f t="shared" si="78"/>
        <v>2.8104720161968855E-2</v>
      </c>
      <c r="I151" s="485">
        <f t="shared" si="78"/>
        <v>2.3742907608253816E-2</v>
      </c>
      <c r="J151" s="485">
        <f t="shared" si="78"/>
        <v>3.842478826947926E-2</v>
      </c>
      <c r="K151" s="485">
        <f t="shared" si="78"/>
        <v>3.3044994822709173E-2</v>
      </c>
      <c r="L151" s="485">
        <f t="shared" si="78"/>
        <v>3.2504708621680978E-2</v>
      </c>
      <c r="M151" s="485">
        <f t="shared" si="78"/>
        <v>3.0191425158247798E-2</v>
      </c>
      <c r="O151" s="570"/>
      <c r="P151" s="570"/>
      <c r="Q151" s="570"/>
      <c r="R151" s="570"/>
      <c r="S151" s="570"/>
      <c r="T151" s="570"/>
      <c r="U151" s="570"/>
      <c r="V151" s="570"/>
      <c r="W151" s="570"/>
      <c r="X151" s="570"/>
      <c r="Y151" s="570"/>
      <c r="Z151" s="570"/>
      <c r="AA151" s="570"/>
      <c r="AB151" s="646"/>
      <c r="AC151" s="646"/>
    </row>
    <row r="152" spans="2:29" outlineLevel="1" x14ac:dyDescent="0.45">
      <c r="C152" s="294"/>
      <c r="E152" s="569"/>
      <c r="F152" s="569"/>
      <c r="G152" s="570"/>
      <c r="H152" s="570"/>
      <c r="I152" s="570"/>
      <c r="J152" s="570"/>
      <c r="K152" s="570"/>
      <c r="L152" s="570"/>
      <c r="M152" s="570"/>
      <c r="O152" s="570"/>
      <c r="P152" s="570"/>
      <c r="Q152" s="570"/>
      <c r="R152" s="570"/>
      <c r="S152" s="570"/>
      <c r="T152" s="570"/>
      <c r="U152" s="570"/>
      <c r="V152" s="570"/>
      <c r="W152" s="570"/>
      <c r="X152" s="570"/>
      <c r="Y152" s="570"/>
      <c r="Z152" s="570"/>
      <c r="AA152" s="570"/>
      <c r="AB152" s="646"/>
      <c r="AC152" s="646"/>
    </row>
    <row r="153" spans="2:29" outlineLevel="1" x14ac:dyDescent="0.45">
      <c r="C153" s="353" t="s">
        <v>203</v>
      </c>
      <c r="D153" s="235" t="s">
        <v>126</v>
      </c>
      <c r="E153" s="572">
        <f t="shared" ref="E153:M153" si="79">+E39+E61+E84-E93</f>
        <v>24105</v>
      </c>
      <c r="F153" s="572">
        <f t="shared" si="79"/>
        <v>22764</v>
      </c>
      <c r="G153" s="572">
        <f t="shared" si="79"/>
        <v>20437</v>
      </c>
      <c r="H153" s="572">
        <f t="shared" si="79"/>
        <v>21957</v>
      </c>
      <c r="I153" s="572">
        <f t="shared" si="79"/>
        <v>21479.892416658069</v>
      </c>
      <c r="J153" s="572">
        <f t="shared" si="79"/>
        <v>21788.010780819841</v>
      </c>
      <c r="K153" s="572">
        <f t="shared" si="79"/>
        <v>22050.20421001421</v>
      </c>
      <c r="L153" s="572">
        <f t="shared" si="79"/>
        <v>22371.115980465078</v>
      </c>
      <c r="M153" s="572">
        <f t="shared" si="79"/>
        <v>23030.589630547824</v>
      </c>
      <c r="O153" s="570"/>
      <c r="P153" s="570"/>
      <c r="Q153" s="570"/>
      <c r="R153" s="570"/>
      <c r="S153" s="570"/>
      <c r="T153" s="570"/>
      <c r="U153" s="570"/>
      <c r="V153" s="570"/>
      <c r="W153" s="570"/>
      <c r="X153" s="570"/>
      <c r="Y153" s="570"/>
      <c r="Z153" s="570"/>
      <c r="AA153" s="570"/>
      <c r="AB153" s="646"/>
      <c r="AC153" s="646"/>
    </row>
    <row r="154" spans="2:29" outlineLevel="1" x14ac:dyDescent="0.45">
      <c r="C154" s="236" t="s">
        <v>381</v>
      </c>
      <c r="D154" s="235" t="s">
        <v>5</v>
      </c>
      <c r="E154" s="485">
        <f>IFERROR(+E153/E$150,"N/A")</f>
        <v>4.9996888805923713E-2</v>
      </c>
      <c r="F154" s="485">
        <f t="shared" ref="F154:M154" si="80">IFERROR(+F153/F$150,"N/A")</f>
        <v>4.6851749325441013E-2</v>
      </c>
      <c r="G154" s="485">
        <f t="shared" si="80"/>
        <v>4.084597965795464E-2</v>
      </c>
      <c r="H154" s="485">
        <f t="shared" si="80"/>
        <v>4.268426628823592E-2</v>
      </c>
      <c r="I154" s="485">
        <f t="shared" si="80"/>
        <v>4.0788338473626014E-2</v>
      </c>
      <c r="J154" s="485">
        <f t="shared" si="80"/>
        <v>3.9842487729708741E-2</v>
      </c>
      <c r="K154" s="485">
        <f t="shared" si="80"/>
        <v>3.9032129328845443E-2</v>
      </c>
      <c r="L154" s="485">
        <f t="shared" si="80"/>
        <v>3.8353520707007371E-2</v>
      </c>
      <c r="M154" s="485">
        <f t="shared" si="80"/>
        <v>3.8326990016294415E-2</v>
      </c>
      <c r="O154" s="646"/>
      <c r="P154" s="646"/>
      <c r="Q154" s="646"/>
      <c r="R154" s="646"/>
      <c r="S154" s="646"/>
      <c r="T154" s="646"/>
      <c r="U154" s="646"/>
      <c r="V154" s="646"/>
      <c r="W154" s="646"/>
      <c r="X154" s="646"/>
      <c r="Y154" s="646"/>
      <c r="Z154" s="646"/>
      <c r="AA154" s="646"/>
      <c r="AB154" s="646"/>
      <c r="AC154" s="646"/>
    </row>
    <row r="155" spans="2:29" outlineLevel="1" x14ac:dyDescent="0.45">
      <c r="E155" s="569"/>
      <c r="F155" s="569"/>
      <c r="G155" s="570"/>
      <c r="H155" s="570"/>
      <c r="I155" s="570"/>
      <c r="J155" s="570"/>
      <c r="K155" s="570"/>
      <c r="L155" s="570"/>
      <c r="M155" s="570"/>
      <c r="O155" s="646"/>
      <c r="P155" s="646"/>
      <c r="Q155" s="646"/>
      <c r="R155" s="646"/>
      <c r="S155" s="646"/>
      <c r="T155" s="646"/>
      <c r="U155" s="646"/>
      <c r="V155" s="646"/>
      <c r="W155" s="646"/>
      <c r="X155" s="646"/>
      <c r="Y155" s="646"/>
      <c r="Z155" s="646"/>
      <c r="AA155" s="646"/>
      <c r="AB155" s="646"/>
      <c r="AC155" s="646"/>
    </row>
    <row r="156" spans="2:29" outlineLevel="1" x14ac:dyDescent="0.45">
      <c r="C156" s="6" t="s">
        <v>206</v>
      </c>
      <c r="E156" s="569"/>
      <c r="F156" s="569"/>
      <c r="G156" s="570"/>
      <c r="H156" s="570"/>
      <c r="I156" s="570"/>
      <c r="J156" s="570"/>
      <c r="K156" s="570"/>
      <c r="L156" s="570"/>
      <c r="M156" s="570"/>
      <c r="O156" s="570"/>
      <c r="P156" s="570"/>
      <c r="Q156" s="570"/>
      <c r="R156" s="570"/>
      <c r="S156" s="570"/>
      <c r="T156" s="570"/>
      <c r="U156" s="570"/>
      <c r="V156" s="606"/>
      <c r="W156" s="574"/>
      <c r="X156" s="607"/>
      <c r="Y156" s="477"/>
      <c r="Z156" s="570"/>
      <c r="AA156" s="570"/>
      <c r="AB156" s="646"/>
      <c r="AC156" s="646"/>
    </row>
    <row r="157" spans="2:29" outlineLevel="1" x14ac:dyDescent="0.45">
      <c r="C157" s="306" t="s">
        <v>209</v>
      </c>
      <c r="D157" s="235" t="s">
        <v>126</v>
      </c>
      <c r="E157" s="592">
        <v>-2027</v>
      </c>
      <c r="F157" s="592">
        <v>-2044</v>
      </c>
      <c r="G157" s="592">
        <v>-1978</v>
      </c>
      <c r="H157" s="592">
        <v>-1975</v>
      </c>
      <c r="I157" s="325">
        <f t="shared" ref="I157:M158" si="81">-I98*IF(Avg_Balances,AVERAGE(H201,I201),H201)</f>
        <v>-2425.3979455115777</v>
      </c>
      <c r="J157" s="325">
        <f t="shared" si="81"/>
        <v>-2262.8347643307293</v>
      </c>
      <c r="K157" s="325">
        <f t="shared" si="81"/>
        <v>-2168.897894588993</v>
      </c>
      <c r="L157" s="325">
        <f t="shared" si="81"/>
        <v>-2111.5596697809196</v>
      </c>
      <c r="M157" s="325">
        <f t="shared" si="81"/>
        <v>-2085.3655654790318</v>
      </c>
      <c r="O157" s="570"/>
      <c r="P157" s="570"/>
      <c r="Q157" s="570"/>
      <c r="R157" s="570"/>
      <c r="S157" s="570"/>
      <c r="T157" s="570"/>
      <c r="U157" s="570"/>
      <c r="V157" s="570"/>
      <c r="W157" s="570"/>
      <c r="X157" s="570"/>
      <c r="Y157" s="570"/>
      <c r="Z157" s="570"/>
      <c r="AA157" s="570"/>
      <c r="AB157" s="646"/>
      <c r="AC157" s="646"/>
    </row>
    <row r="158" spans="2:29" outlineLevel="1" x14ac:dyDescent="0.45">
      <c r="C158" s="583" t="s">
        <v>456</v>
      </c>
      <c r="D158" s="235" t="s">
        <v>126</v>
      </c>
      <c r="E158" s="592">
        <v>-521</v>
      </c>
      <c r="F158" s="592">
        <v>-323</v>
      </c>
      <c r="G158" s="592">
        <v>-352</v>
      </c>
      <c r="H158" s="592">
        <v>-371</v>
      </c>
      <c r="I158" s="325">
        <f t="shared" si="81"/>
        <v>-370.87171864307425</v>
      </c>
      <c r="J158" s="325">
        <f t="shared" si="81"/>
        <v>-388.66420428265496</v>
      </c>
      <c r="K158" s="325">
        <f t="shared" si="81"/>
        <v>-401.81435487198996</v>
      </c>
      <c r="L158" s="325">
        <f t="shared" si="81"/>
        <v>-414.60094621647556</v>
      </c>
      <c r="M158" s="325">
        <f t="shared" si="81"/>
        <v>-427.61744614787341</v>
      </c>
      <c r="O158" s="570"/>
      <c r="P158" s="570"/>
      <c r="Q158" s="570"/>
      <c r="R158" s="570"/>
      <c r="S158" s="570"/>
      <c r="T158" s="570"/>
      <c r="U158" s="570"/>
      <c r="V158" s="570"/>
      <c r="W158" s="570"/>
      <c r="X158" s="570"/>
      <c r="Y158" s="570"/>
      <c r="Z158" s="570"/>
      <c r="AA158" s="570"/>
      <c r="AB158" s="646"/>
      <c r="AC158" s="646"/>
    </row>
    <row r="159" spans="2:29" outlineLevel="1" x14ac:dyDescent="0.45">
      <c r="C159" s="583" t="s">
        <v>457</v>
      </c>
      <c r="D159" s="235" t="s">
        <v>126</v>
      </c>
      <c r="E159" s="592">
        <v>81</v>
      </c>
      <c r="F159" s="592">
        <v>100</v>
      </c>
      <c r="G159" s="592">
        <v>152</v>
      </c>
      <c r="H159" s="592">
        <v>217</v>
      </c>
      <c r="I159" s="325">
        <f>I100*IF(Avg_Balances,AVERAGE(H180,I180),H180)</f>
        <v>228.21166666666667</v>
      </c>
      <c r="J159" s="325">
        <f>J100*IF(Avg_Balances,AVERAGE(I180,J180),I180)</f>
        <v>242.19633675053205</v>
      </c>
      <c r="K159" s="325">
        <f>K100*IF(Avg_Balances,AVERAGE(J180,K180),J180)</f>
        <v>251.75067919339281</v>
      </c>
      <c r="L159" s="325">
        <f>L100*IF(Avg_Balances,AVERAGE(K180,L180),K180)</f>
        <v>260.28927403930908</v>
      </c>
      <c r="M159" s="325">
        <f>M100*IF(Avg_Balances,AVERAGE(L180,M180),L180)</f>
        <v>268.93968470965098</v>
      </c>
      <c r="O159" s="570"/>
      <c r="P159" s="627"/>
      <c r="Q159" s="570"/>
      <c r="R159" s="570"/>
      <c r="S159" s="570"/>
      <c r="T159" s="570"/>
      <c r="U159" s="325"/>
      <c r="V159" s="477"/>
      <c r="W159" s="477"/>
      <c r="X159" s="477"/>
      <c r="Y159" s="477"/>
      <c r="Z159" s="570"/>
      <c r="AA159" s="570"/>
      <c r="AB159" s="646"/>
      <c r="AC159" s="646"/>
    </row>
    <row r="160" spans="2:29" outlineLevel="1" x14ac:dyDescent="0.45">
      <c r="C160" s="341" t="s">
        <v>284</v>
      </c>
      <c r="D160" s="235" t="s">
        <v>126</v>
      </c>
      <c r="E160" s="592">
        <v>0</v>
      </c>
      <c r="F160" s="592">
        <v>0</v>
      </c>
      <c r="G160" s="592">
        <v>0</v>
      </c>
      <c r="H160" s="592">
        <v>0</v>
      </c>
      <c r="I160" s="593">
        <v>0</v>
      </c>
      <c r="J160" s="335">
        <f>+I160</f>
        <v>0</v>
      </c>
      <c r="K160" s="335">
        <f t="shared" ref="K160" si="82">+J160</f>
        <v>0</v>
      </c>
      <c r="L160" s="335">
        <f t="shared" ref="L160" si="83">+K160</f>
        <v>0</v>
      </c>
      <c r="M160" s="335">
        <f t="shared" ref="M160" si="84">+L160</f>
        <v>0</v>
      </c>
      <c r="O160" s="646"/>
      <c r="P160" s="646"/>
      <c r="Q160" s="646"/>
      <c r="R160" s="646"/>
      <c r="S160" s="646"/>
      <c r="T160" s="646"/>
      <c r="U160" s="646"/>
      <c r="V160" s="646"/>
      <c r="W160" s="646"/>
      <c r="X160" s="646"/>
      <c r="Y160" s="646"/>
      <c r="Z160" s="570"/>
      <c r="AA160" s="570"/>
      <c r="AB160" s="646"/>
      <c r="AC160" s="646"/>
    </row>
    <row r="161" spans="2:29" outlineLevel="1" x14ac:dyDescent="0.45">
      <c r="C161" s="306" t="s">
        <v>207</v>
      </c>
      <c r="D161" s="310" t="s">
        <v>126</v>
      </c>
      <c r="E161" s="592">
        <v>0</v>
      </c>
      <c r="F161" s="592">
        <v>0</v>
      </c>
      <c r="G161" s="592">
        <v>-3136</v>
      </c>
      <c r="H161" s="592">
        <v>-8368</v>
      </c>
      <c r="I161" s="593">
        <v>0</v>
      </c>
      <c r="J161" s="335">
        <f>+I161</f>
        <v>0</v>
      </c>
      <c r="K161" s="335">
        <f t="shared" ref="K161:M161" si="85">+J161</f>
        <v>0</v>
      </c>
      <c r="L161" s="335">
        <f t="shared" si="85"/>
        <v>0</v>
      </c>
      <c r="M161" s="335">
        <f t="shared" si="85"/>
        <v>0</v>
      </c>
      <c r="O161" s="646"/>
      <c r="P161" s="646"/>
      <c r="Q161" s="646"/>
      <c r="R161" s="646"/>
      <c r="S161" s="646"/>
      <c r="T161" s="646"/>
      <c r="U161" s="646"/>
      <c r="V161" s="646"/>
      <c r="W161" s="646"/>
      <c r="X161" s="646"/>
      <c r="Y161" s="646"/>
      <c r="Z161" s="570"/>
      <c r="AA161" s="570"/>
      <c r="AB161" s="646"/>
      <c r="AC161" s="646"/>
    </row>
    <row r="162" spans="2:29" outlineLevel="1" x14ac:dyDescent="0.45">
      <c r="C162" s="307" t="s">
        <v>208</v>
      </c>
      <c r="D162" s="235" t="s">
        <v>126</v>
      </c>
      <c r="E162" s="334">
        <f>SUM(E157:E161)</f>
        <v>-2467</v>
      </c>
      <c r="F162" s="334">
        <f>SUM(F157:F161)</f>
        <v>-2267</v>
      </c>
      <c r="G162" s="334">
        <f t="shared" ref="G162:M162" si="86">SUM(G157:G161)</f>
        <v>-5314</v>
      </c>
      <c r="H162" s="334">
        <f t="shared" si="86"/>
        <v>-10497</v>
      </c>
      <c r="I162" s="334">
        <f t="shared" si="86"/>
        <v>-2568.0579974879852</v>
      </c>
      <c r="J162" s="334">
        <f t="shared" si="86"/>
        <v>-2409.3026318628517</v>
      </c>
      <c r="K162" s="334">
        <f t="shared" si="86"/>
        <v>-2318.9615702675901</v>
      </c>
      <c r="L162" s="334">
        <f t="shared" si="86"/>
        <v>-2265.8713419580863</v>
      </c>
      <c r="M162" s="334">
        <f t="shared" si="86"/>
        <v>-2244.0433269172545</v>
      </c>
      <c r="O162" s="570"/>
      <c r="P162" s="646"/>
      <c r="Q162" s="646"/>
      <c r="R162" s="646"/>
      <c r="S162" s="646"/>
      <c r="T162" s="646"/>
      <c r="U162" s="570"/>
      <c r="V162" s="570"/>
      <c r="W162" s="570"/>
      <c r="X162" s="570"/>
      <c r="Y162" s="570"/>
      <c r="Z162" s="570"/>
      <c r="AA162" s="570"/>
      <c r="AB162" s="646"/>
      <c r="AC162" s="646"/>
    </row>
    <row r="163" spans="2:29" outlineLevel="1" x14ac:dyDescent="0.45">
      <c r="E163" s="569"/>
      <c r="F163" s="569"/>
      <c r="G163" s="570"/>
      <c r="H163" s="570"/>
      <c r="I163" s="570"/>
      <c r="J163" s="570"/>
      <c r="K163" s="570"/>
      <c r="L163" s="570"/>
      <c r="M163" s="570"/>
      <c r="O163" s="630"/>
      <c r="P163" s="630"/>
      <c r="Q163" s="630"/>
      <c r="R163" s="630"/>
      <c r="S163" s="630"/>
      <c r="T163" s="630"/>
      <c r="U163" s="630"/>
      <c r="V163" s="630"/>
      <c r="W163" s="630"/>
      <c r="X163" s="630"/>
      <c r="Y163" s="630"/>
      <c r="Z163" s="570"/>
      <c r="AA163" s="570"/>
    </row>
    <row r="164" spans="2:29" outlineLevel="1" x14ac:dyDescent="0.45">
      <c r="C164" s="6" t="s">
        <v>210</v>
      </c>
      <c r="D164" s="235" t="s">
        <v>126</v>
      </c>
      <c r="E164" s="572">
        <f>+E153+E162</f>
        <v>21638</v>
      </c>
      <c r="F164" s="572">
        <f>+F153+F162</f>
        <v>20497</v>
      </c>
      <c r="G164" s="572">
        <f t="shared" ref="G164:M164" si="87">+G153+G162</f>
        <v>15123</v>
      </c>
      <c r="H164" s="572">
        <f t="shared" si="87"/>
        <v>11460</v>
      </c>
      <c r="I164" s="572">
        <f t="shared" si="87"/>
        <v>18911.834419170085</v>
      </c>
      <c r="J164" s="572">
        <f t="shared" si="87"/>
        <v>19378.70814895699</v>
      </c>
      <c r="K164" s="572">
        <f t="shared" si="87"/>
        <v>19731.242639746619</v>
      </c>
      <c r="L164" s="572">
        <f t="shared" si="87"/>
        <v>20105.244638506992</v>
      </c>
      <c r="M164" s="572">
        <f t="shared" si="87"/>
        <v>20786.54630363057</v>
      </c>
      <c r="O164" s="570"/>
      <c r="P164" s="630"/>
      <c r="Q164" s="630"/>
      <c r="R164" s="630"/>
      <c r="S164" s="630"/>
      <c r="T164" s="630"/>
      <c r="U164" s="630"/>
      <c r="V164" s="630"/>
      <c r="W164" s="630"/>
      <c r="X164" s="630"/>
      <c r="Y164" s="630"/>
      <c r="Z164" s="570"/>
      <c r="AA164" s="570"/>
    </row>
    <row r="165" spans="2:29" outlineLevel="1" x14ac:dyDescent="0.45">
      <c r="C165" s="306" t="s">
        <v>211</v>
      </c>
      <c r="D165" s="235" t="s">
        <v>126</v>
      </c>
      <c r="E165" s="592">
        <v>-6558</v>
      </c>
      <c r="F165" s="592">
        <v>-6204</v>
      </c>
      <c r="G165" s="592">
        <v>-4600</v>
      </c>
      <c r="H165" s="592">
        <v>-4281</v>
      </c>
      <c r="I165" s="325">
        <f>-I164*I102</f>
        <v>-4587.6875816136853</v>
      </c>
      <c r="J165" s="325">
        <f>-J164*J102</f>
        <v>-4700.9431635340688</v>
      </c>
      <c r="K165" s="325">
        <f>-K164*K102</f>
        <v>-4786.4620016139261</v>
      </c>
      <c r="L165" s="325">
        <f>-L164*L102</f>
        <v>-4877.1884899694096</v>
      </c>
      <c r="M165" s="325">
        <f>-M164*M102</f>
        <v>-5042.4606216486027</v>
      </c>
      <c r="O165" s="570"/>
      <c r="P165" s="630"/>
      <c r="Q165" s="630"/>
      <c r="R165" s="630"/>
      <c r="S165" s="630"/>
      <c r="T165" s="630"/>
      <c r="U165" s="570"/>
      <c r="V165" s="570"/>
      <c r="W165" s="570"/>
      <c r="X165" s="570"/>
      <c r="Y165" s="570"/>
      <c r="Z165" s="570"/>
      <c r="AA165" s="570"/>
    </row>
    <row r="166" spans="2:29" outlineLevel="1" x14ac:dyDescent="0.45">
      <c r="C166" s="582" t="s">
        <v>212</v>
      </c>
      <c r="D166" s="311" t="s">
        <v>126</v>
      </c>
      <c r="E166" s="334">
        <f>SUM(E164:E165)</f>
        <v>15080</v>
      </c>
      <c r="F166" s="334">
        <f>SUM(F164:F165)</f>
        <v>14293</v>
      </c>
      <c r="G166" s="334">
        <f t="shared" ref="G166:H166" si="88">SUM(G164:G165)</f>
        <v>10523</v>
      </c>
      <c r="H166" s="334">
        <f t="shared" si="88"/>
        <v>7179</v>
      </c>
      <c r="I166" s="334">
        <f>SUM(I164:I165)</f>
        <v>14324.1468375564</v>
      </c>
      <c r="J166" s="334">
        <f t="shared" ref="J166:M166" si="89">SUM(J164:J165)</f>
        <v>14677.76498542292</v>
      </c>
      <c r="K166" s="334">
        <f t="shared" si="89"/>
        <v>14944.780638132692</v>
      </c>
      <c r="L166" s="334">
        <f t="shared" si="89"/>
        <v>15228.056148537584</v>
      </c>
      <c r="M166" s="334">
        <f t="shared" si="89"/>
        <v>15744.085681981967</v>
      </c>
      <c r="O166" s="570"/>
      <c r="P166" s="630"/>
      <c r="Q166" s="630"/>
      <c r="R166" s="630"/>
      <c r="S166" s="630"/>
      <c r="T166" s="630"/>
      <c r="U166" s="630"/>
      <c r="V166" s="630"/>
      <c r="W166" s="630"/>
      <c r="X166" s="630"/>
      <c r="Y166" s="630"/>
      <c r="Z166" s="570"/>
      <c r="AA166" s="570"/>
    </row>
    <row r="167" spans="2:29" outlineLevel="1" x14ac:dyDescent="0.45">
      <c r="C167" s="581" t="s">
        <v>454</v>
      </c>
      <c r="D167" s="235" t="s">
        <v>126</v>
      </c>
      <c r="E167" s="592">
        <v>-386</v>
      </c>
      <c r="F167" s="592">
        <v>-650</v>
      </c>
      <c r="G167" s="592">
        <v>-661</v>
      </c>
      <c r="H167" s="592">
        <v>-509</v>
      </c>
      <c r="I167" s="325">
        <f>-I166*I103</f>
        <v>-1074.31101281673</v>
      </c>
      <c r="J167" s="325">
        <f>-J166*J103</f>
        <v>-1174.2211988338336</v>
      </c>
      <c r="K167" s="325">
        <f>-K166*K103</f>
        <v>-1270.306354241279</v>
      </c>
      <c r="L167" s="325">
        <f>-L166*L103</f>
        <v>-1370.5250533683825</v>
      </c>
      <c r="M167" s="325">
        <f>-M166*M103</f>
        <v>-1495.6881397882869</v>
      </c>
      <c r="O167" s="630"/>
      <c r="P167" s="630"/>
      <c r="Q167" s="630"/>
      <c r="R167" s="630"/>
      <c r="S167" s="630"/>
      <c r="T167" s="630"/>
      <c r="U167" s="570"/>
      <c r="V167" s="570"/>
      <c r="W167" s="570"/>
      <c r="X167" s="570"/>
      <c r="Y167" s="570"/>
      <c r="Z167" s="570"/>
      <c r="AA167" s="570"/>
    </row>
    <row r="168" spans="2:29" outlineLevel="1" x14ac:dyDescent="0.45">
      <c r="C168" s="307" t="s">
        <v>213</v>
      </c>
      <c r="D168" s="311" t="s">
        <v>126</v>
      </c>
      <c r="E168" s="334">
        <f>SUM(E166:E167)</f>
        <v>14694</v>
      </c>
      <c r="F168" s="334">
        <f>SUM(F166:F167)</f>
        <v>13643</v>
      </c>
      <c r="G168" s="334">
        <f>SUM(G166:G167)</f>
        <v>9862</v>
      </c>
      <c r="H168" s="334">
        <f>SUM(H166:H167)</f>
        <v>6670</v>
      </c>
      <c r="I168" s="334">
        <f t="shared" ref="I168:M168" si="90">SUM(I166:I167)</f>
        <v>13249.83582473967</v>
      </c>
      <c r="J168" s="334">
        <f t="shared" si="90"/>
        <v>13503.543786589087</v>
      </c>
      <c r="K168" s="334">
        <f t="shared" si="90"/>
        <v>13674.474283891414</v>
      </c>
      <c r="L168" s="334">
        <f t="shared" si="90"/>
        <v>13857.531095169201</v>
      </c>
      <c r="M168" s="334">
        <f t="shared" si="90"/>
        <v>14248.397542193681</v>
      </c>
      <c r="O168" s="570"/>
      <c r="P168" s="630"/>
      <c r="Q168" s="630"/>
      <c r="R168" s="630"/>
      <c r="S168" s="630"/>
      <c r="T168" s="630"/>
      <c r="U168" s="570"/>
      <c r="V168" s="477"/>
      <c r="W168" s="477"/>
      <c r="X168" s="477"/>
      <c r="Y168" s="477"/>
      <c r="Z168" s="570"/>
      <c r="AA168" s="570"/>
    </row>
    <row r="169" spans="2:29" outlineLevel="1" x14ac:dyDescent="0.45">
      <c r="E169" s="569"/>
      <c r="F169" s="569"/>
      <c r="G169" s="570"/>
      <c r="H169" s="570"/>
      <c r="I169" s="570"/>
      <c r="J169" s="570"/>
      <c r="K169" s="570"/>
      <c r="L169" s="570"/>
      <c r="M169" s="570"/>
      <c r="O169" s="570"/>
      <c r="P169" s="630"/>
      <c r="Q169" s="630"/>
      <c r="R169" s="630"/>
      <c r="S169" s="630"/>
      <c r="T169" s="630"/>
      <c r="U169" s="630"/>
      <c r="V169" s="630"/>
      <c r="W169" s="630"/>
      <c r="X169" s="630"/>
      <c r="Y169" s="630"/>
      <c r="Z169" s="570"/>
      <c r="AA169" s="570"/>
    </row>
    <row r="170" spans="2:29" outlineLevel="1" x14ac:dyDescent="0.45">
      <c r="C170" s="305" t="s">
        <v>214</v>
      </c>
      <c r="D170" s="235" t="s">
        <v>216</v>
      </c>
      <c r="E170" s="594">
        <v>3207</v>
      </c>
      <c r="F170" s="594">
        <v>3101</v>
      </c>
      <c r="G170" s="594">
        <v>2995</v>
      </c>
      <c r="H170" s="594">
        <v>2929</v>
      </c>
      <c r="I170" s="576">
        <f>+H170+I242/Share_Price</f>
        <v>2881.4307872473523</v>
      </c>
      <c r="J170" s="576">
        <f>+I170+J242/Share_Price</f>
        <v>2831.4831138570726</v>
      </c>
      <c r="K170" s="576">
        <f>+J170+K242/Share_Price</f>
        <v>2779.1569798291603</v>
      </c>
      <c r="L170" s="576">
        <f>+K170+L242/Share_Price</f>
        <v>2724.4523851636154</v>
      </c>
      <c r="M170" s="576">
        <f>+L170+M242/Share_Price</f>
        <v>2667.3693298604385</v>
      </c>
      <c r="O170" s="570"/>
      <c r="P170" s="630"/>
      <c r="Q170" s="630"/>
      <c r="R170" s="630"/>
      <c r="S170" s="630"/>
      <c r="T170" s="630"/>
      <c r="U170" s="570"/>
      <c r="V170" s="570"/>
      <c r="W170" s="570"/>
      <c r="X170" s="570"/>
      <c r="Y170" s="570"/>
      <c r="Z170" s="570"/>
      <c r="AA170" s="570"/>
    </row>
    <row r="171" spans="2:29" outlineLevel="1" x14ac:dyDescent="0.45">
      <c r="C171" s="584" t="s">
        <v>215</v>
      </c>
      <c r="D171" s="235" t="s">
        <v>217</v>
      </c>
      <c r="E171" s="577">
        <f>+E168/E170</f>
        <v>4.5818521983161835</v>
      </c>
      <c r="F171" s="577">
        <f>+F168/F170</f>
        <v>4.3995485327313766</v>
      </c>
      <c r="G171" s="577">
        <f>+G168/G170</f>
        <v>3.2928213689482471</v>
      </c>
      <c r="H171" s="577">
        <f>+H168/H170</f>
        <v>2.277227722772277</v>
      </c>
      <c r="I171" s="577">
        <f t="shared" ref="I171:M171" si="91">+I168/I170</f>
        <v>4.5983529722042418</v>
      </c>
      <c r="J171" s="577">
        <f t="shared" si="91"/>
        <v>4.769070922762606</v>
      </c>
      <c r="K171" s="577">
        <f t="shared" si="91"/>
        <v>4.9203677169513496</v>
      </c>
      <c r="L171" s="577">
        <f t="shared" si="91"/>
        <v>5.0863546636499555</v>
      </c>
      <c r="M171" s="577">
        <f t="shared" si="91"/>
        <v>5.3417415363845331</v>
      </c>
      <c r="O171" s="570"/>
      <c r="P171" s="630"/>
      <c r="Q171" s="630"/>
      <c r="R171" s="630"/>
      <c r="S171" s="630"/>
      <c r="T171" s="630"/>
      <c r="U171" s="570"/>
      <c r="V171" s="570"/>
      <c r="W171" s="570"/>
      <c r="X171" s="570"/>
      <c r="Y171" s="570"/>
      <c r="Z171" s="570"/>
      <c r="AA171" s="570"/>
    </row>
    <row r="172" spans="2:29" outlineLevel="1" x14ac:dyDescent="0.45">
      <c r="E172" s="569"/>
      <c r="F172" s="569"/>
      <c r="G172" s="570"/>
      <c r="H172" s="570"/>
      <c r="I172" s="570"/>
      <c r="J172" s="570"/>
      <c r="K172" s="570"/>
      <c r="L172" s="570"/>
      <c r="M172" s="570"/>
      <c r="O172" s="570"/>
      <c r="P172" s="630"/>
      <c r="Q172" s="630"/>
      <c r="R172" s="630"/>
      <c r="S172" s="630"/>
      <c r="T172" s="630"/>
      <c r="U172" s="570"/>
      <c r="V172" s="570"/>
      <c r="W172" s="570"/>
      <c r="X172" s="570"/>
      <c r="Y172" s="570"/>
      <c r="Z172" s="570"/>
      <c r="AA172" s="570"/>
    </row>
    <row r="173" spans="2:29" outlineLevel="1" x14ac:dyDescent="0.45">
      <c r="C173" s="6" t="s">
        <v>14</v>
      </c>
      <c r="D173" s="235" t="s">
        <v>126</v>
      </c>
      <c r="E173" s="572">
        <f t="shared" ref="E173:M173" si="92">+E153+E222</f>
        <v>33559</v>
      </c>
      <c r="F173" s="572">
        <f t="shared" si="92"/>
        <v>32844</v>
      </c>
      <c r="G173" s="572">
        <f t="shared" si="92"/>
        <v>30966</v>
      </c>
      <c r="H173" s="572">
        <f t="shared" si="92"/>
        <v>32635</v>
      </c>
      <c r="I173" s="572">
        <f t="shared" si="92"/>
        <v>32012.261824422545</v>
      </c>
      <c r="J173" s="572">
        <f t="shared" si="92"/>
        <v>32725.084253053607</v>
      </c>
      <c r="K173" s="572">
        <f t="shared" si="92"/>
        <v>33348.69321851353</v>
      </c>
      <c r="L173" s="572">
        <f t="shared" si="92"/>
        <v>34036.859082050934</v>
      </c>
      <c r="M173" s="572">
        <f t="shared" si="92"/>
        <v>35048.538141900557</v>
      </c>
      <c r="O173" s="570"/>
      <c r="P173" s="570"/>
      <c r="Q173" s="630"/>
      <c r="R173" s="630"/>
      <c r="S173" s="630"/>
      <c r="T173" s="630"/>
      <c r="U173" s="630"/>
      <c r="V173" s="630"/>
      <c r="W173" s="630"/>
      <c r="X173" s="630"/>
      <c r="Y173" s="630"/>
      <c r="Z173" s="570"/>
      <c r="AA173" s="570"/>
    </row>
    <row r="174" spans="2:29" outlineLevel="1" x14ac:dyDescent="0.45">
      <c r="C174" s="236" t="s">
        <v>382</v>
      </c>
      <c r="D174" s="235" t="s">
        <v>5</v>
      </c>
      <c r="E174" s="485">
        <f>IFERROR(+E173/E$150,"N/A")</f>
        <v>6.9605708004065292E-2</v>
      </c>
      <c r="F174" s="485">
        <f t="shared" ref="F174:M174" si="93">IFERROR(+F173/F$150,"N/A")</f>
        <v>6.7597911388366919E-2</v>
      </c>
      <c r="G174" s="485">
        <f t="shared" si="93"/>
        <v>6.188954377297174E-2</v>
      </c>
      <c r="H174" s="485">
        <f t="shared" si="93"/>
        <v>6.3442229371798484E-2</v>
      </c>
      <c r="I174" s="485">
        <f t="shared" si="93"/>
        <v>6.0788338473626018E-2</v>
      </c>
      <c r="J174" s="485">
        <f t="shared" si="93"/>
        <v>5.9842487729708738E-2</v>
      </c>
      <c r="K174" s="485">
        <f t="shared" si="93"/>
        <v>5.903212932884544E-2</v>
      </c>
      <c r="L174" s="485">
        <f t="shared" si="93"/>
        <v>5.8353520707007375E-2</v>
      </c>
      <c r="M174" s="485">
        <f t="shared" si="93"/>
        <v>5.8326990016294412E-2</v>
      </c>
      <c r="O174" s="570"/>
      <c r="P174" s="630"/>
      <c r="Q174" s="630"/>
      <c r="R174" s="630"/>
      <c r="S174" s="630"/>
      <c r="T174" s="630"/>
      <c r="U174" s="630"/>
      <c r="V174" s="630"/>
      <c r="W174" s="630"/>
      <c r="X174" s="630"/>
      <c r="Y174" s="630"/>
      <c r="Z174" s="630"/>
      <c r="AA174" s="629"/>
    </row>
    <row r="175" spans="2:29" x14ac:dyDescent="0.45">
      <c r="O175" s="570"/>
      <c r="P175" s="630"/>
      <c r="Q175" s="630"/>
      <c r="R175" s="630"/>
      <c r="S175" s="630"/>
      <c r="T175" s="630"/>
      <c r="U175" s="630"/>
      <c r="V175" s="630"/>
      <c r="W175" s="630"/>
      <c r="X175" s="630"/>
      <c r="Y175" s="630"/>
      <c r="Z175" s="630"/>
      <c r="AA175" s="629"/>
    </row>
    <row r="176" spans="2:29" x14ac:dyDescent="0.45">
      <c r="B176" s="11"/>
      <c r="C176" s="11"/>
      <c r="D176" s="12"/>
      <c r="E176" s="13" t="str">
        <f>$E$19</f>
        <v>Historical:</v>
      </c>
      <c r="F176" s="13"/>
      <c r="G176" s="13"/>
      <c r="H176" s="14"/>
      <c r="I176" s="13" t="str">
        <f>$I$19</f>
        <v>Projected:</v>
      </c>
      <c r="J176" s="13"/>
      <c r="K176" s="13"/>
      <c r="L176" s="13"/>
      <c r="M176" s="13"/>
      <c r="O176" s="630"/>
      <c r="P176" s="630"/>
      <c r="Q176" s="630"/>
      <c r="R176" s="630"/>
      <c r="S176" s="630"/>
      <c r="T176" s="630"/>
      <c r="U176" s="570"/>
      <c r="V176" s="570"/>
      <c r="W176" s="570"/>
      <c r="X176" s="570"/>
      <c r="Y176" s="570"/>
      <c r="Z176" s="630"/>
      <c r="AA176" s="629"/>
    </row>
    <row r="177" spans="2:27" x14ac:dyDescent="0.45">
      <c r="B177" s="233" t="s">
        <v>218</v>
      </c>
      <c r="C177" s="233"/>
      <c r="D177" s="234" t="str">
        <f>$D$20</f>
        <v>Units:</v>
      </c>
      <c r="E177" s="16">
        <f>$E$20</f>
        <v>42400</v>
      </c>
      <c r="F177" s="16">
        <f>$F$20</f>
        <v>42766</v>
      </c>
      <c r="G177" s="16">
        <f>$G$20</f>
        <v>43131</v>
      </c>
      <c r="H177" s="17">
        <f>$H$20</f>
        <v>43496</v>
      </c>
      <c r="I177" s="16">
        <f>$I$20</f>
        <v>43861</v>
      </c>
      <c r="J177" s="16">
        <f>$J$20</f>
        <v>44227</v>
      </c>
      <c r="K177" s="16">
        <f>$K$20</f>
        <v>44592</v>
      </c>
      <c r="L177" s="16">
        <f>$L$20</f>
        <v>44957</v>
      </c>
      <c r="M177" s="16">
        <f>$M$20</f>
        <v>45322</v>
      </c>
      <c r="O177" s="630"/>
      <c r="P177" s="628"/>
      <c r="Q177" s="570"/>
      <c r="R177" s="570"/>
      <c r="S177" s="608"/>
      <c r="T177" s="608"/>
      <c r="U177" s="570"/>
      <c r="V177" s="570"/>
      <c r="W177" s="570"/>
      <c r="X177" s="570"/>
      <c r="Y177" s="570"/>
      <c r="Z177" s="630"/>
      <c r="AA177" s="629"/>
    </row>
    <row r="178" spans="2:27" outlineLevel="1" x14ac:dyDescent="0.45">
      <c r="B178" s="587" t="s">
        <v>450</v>
      </c>
      <c r="C178" s="587"/>
      <c r="D178" s="588"/>
      <c r="E178" s="588"/>
      <c r="F178" s="589"/>
      <c r="G178" s="589"/>
      <c r="H178" s="589"/>
      <c r="I178" s="589"/>
      <c r="J178" s="589"/>
      <c r="K178" s="589"/>
      <c r="L178" s="589"/>
      <c r="M178" s="589"/>
      <c r="O178" s="630"/>
      <c r="P178" s="570"/>
      <c r="Q178" s="570"/>
      <c r="R178" s="570"/>
      <c r="S178" s="570"/>
      <c r="T178" s="574"/>
      <c r="U178" s="570"/>
      <c r="V178" s="570"/>
      <c r="W178" s="570"/>
      <c r="X178" s="570"/>
      <c r="Y178" s="570"/>
      <c r="Z178" s="630"/>
      <c r="AA178" s="570"/>
    </row>
    <row r="179" spans="2:27" outlineLevel="1" x14ac:dyDescent="0.45">
      <c r="C179" s="6" t="s">
        <v>219</v>
      </c>
      <c r="O179" s="630"/>
      <c r="P179" s="630"/>
      <c r="Q179" s="570"/>
      <c r="R179" s="570"/>
      <c r="S179" s="608"/>
      <c r="T179" s="608"/>
      <c r="U179" s="570"/>
      <c r="V179" s="570"/>
      <c r="W179" s="570"/>
      <c r="X179" s="570"/>
      <c r="Y179" s="570"/>
      <c r="Z179" s="630"/>
      <c r="AA179" s="570"/>
    </row>
    <row r="180" spans="2:27" outlineLevel="1" x14ac:dyDescent="0.45">
      <c r="C180" s="306" t="s">
        <v>220</v>
      </c>
      <c r="D180" s="235" t="s">
        <v>126</v>
      </c>
      <c r="E180" s="613">
        <v>8705</v>
      </c>
      <c r="F180" s="613">
        <v>6958</v>
      </c>
      <c r="G180" s="613">
        <v>6828</v>
      </c>
      <c r="H180" s="613">
        <v>7572</v>
      </c>
      <c r="I180" s="614">
        <f>+I256</f>
        <v>8036.0074866535979</v>
      </c>
      <c r="J180" s="614">
        <f t="shared" ref="J180:M180" si="94">+J256</f>
        <v>8353.0179271540474</v>
      </c>
      <c r="K180" s="614">
        <f t="shared" si="94"/>
        <v>8636.3261432397485</v>
      </c>
      <c r="L180" s="614">
        <f t="shared" si="94"/>
        <v>8923.3443774630741</v>
      </c>
      <c r="M180" s="614">
        <f t="shared" si="94"/>
        <v>9193.0064785918366</v>
      </c>
      <c r="O180" s="630"/>
      <c r="P180" s="630"/>
      <c r="Q180" s="630"/>
      <c r="R180" s="630"/>
      <c r="S180" s="630"/>
      <c r="T180" s="630"/>
      <c r="U180" s="630"/>
      <c r="V180" s="630"/>
      <c r="W180" s="630"/>
      <c r="X180" s="630"/>
      <c r="Y180" s="630"/>
      <c r="Z180" s="570"/>
      <c r="AA180" s="570"/>
    </row>
    <row r="181" spans="2:27" outlineLevel="1" x14ac:dyDescent="0.45">
      <c r="C181" s="315" t="s">
        <v>9</v>
      </c>
      <c r="D181" s="235" t="s">
        <v>126</v>
      </c>
      <c r="E181" s="592">
        <v>5624</v>
      </c>
      <c r="F181" s="592">
        <v>5835</v>
      </c>
      <c r="G181" s="592">
        <v>5614</v>
      </c>
      <c r="H181" s="592">
        <v>6283</v>
      </c>
      <c r="I181" s="325">
        <f>+I150*I106</f>
        <v>6206.4002729905496</v>
      </c>
      <c r="J181" s="325">
        <f t="shared" ref="J181:M181" si="95">+J150*J106</f>
        <v>6427.2709279494129</v>
      </c>
      <c r="K181" s="325">
        <f t="shared" si="95"/>
        <v>6657.8509119739183</v>
      </c>
      <c r="L181" s="325">
        <f t="shared" si="95"/>
        <v>6874.2624159142233</v>
      </c>
      <c r="M181" s="325">
        <f t="shared" si="95"/>
        <v>7081.8061951624541</v>
      </c>
      <c r="O181" s="630"/>
      <c r="P181" s="630"/>
      <c r="Q181" s="630"/>
      <c r="R181" s="630"/>
      <c r="S181" s="630"/>
      <c r="T181" s="630"/>
      <c r="U181" s="630"/>
      <c r="V181" s="630"/>
      <c r="W181" s="630"/>
      <c r="X181" s="630"/>
      <c r="Y181" s="630"/>
      <c r="Z181" s="570"/>
      <c r="AA181" s="570"/>
    </row>
    <row r="182" spans="2:27" outlineLevel="1" x14ac:dyDescent="0.45">
      <c r="C182" s="315" t="s">
        <v>10</v>
      </c>
      <c r="D182" s="235" t="s">
        <v>126</v>
      </c>
      <c r="E182" s="592">
        <v>44469</v>
      </c>
      <c r="F182" s="592">
        <v>43046</v>
      </c>
      <c r="G182" s="592">
        <v>43783</v>
      </c>
      <c r="H182" s="592">
        <v>44269</v>
      </c>
      <c r="I182" s="325">
        <f>+I109*(I22-I39+I45-I61+I68-I84)</f>
        <v>44878.978046256547</v>
      </c>
      <c r="J182" s="325">
        <f>+J109*(J22-J39+J45-J61+J68-J84)</f>
        <v>46131.061771333174</v>
      </c>
      <c r="K182" s="325">
        <f>+K109*(K22-K39+K45-K61+K68-K84)</f>
        <v>47157.569279215684</v>
      </c>
      <c r="L182" s="325">
        <f>+L109*(L22-L39+L45-L61+L68-L84)</f>
        <v>48172.557559769331</v>
      </c>
      <c r="M182" s="325">
        <f>+M109*(M22-M39+M45-M61+M68-M84)</f>
        <v>49057.980470699193</v>
      </c>
      <c r="O182" s="630"/>
      <c r="P182" s="630"/>
      <c r="Q182" s="630"/>
      <c r="R182" s="630"/>
      <c r="S182" s="630"/>
      <c r="T182" s="630"/>
      <c r="U182" s="630"/>
      <c r="V182" s="630"/>
      <c r="W182" s="630"/>
      <c r="X182" s="630"/>
      <c r="Y182" s="630"/>
      <c r="Z182" s="570"/>
      <c r="AA182" s="570"/>
    </row>
    <row r="183" spans="2:27" outlineLevel="1" x14ac:dyDescent="0.45">
      <c r="C183" s="306" t="s">
        <v>221</v>
      </c>
      <c r="D183" s="310" t="s">
        <v>126</v>
      </c>
      <c r="E183" s="592">
        <v>1441</v>
      </c>
      <c r="F183" s="592">
        <v>1941</v>
      </c>
      <c r="G183" s="592">
        <v>3511</v>
      </c>
      <c r="H183" s="592">
        <v>3623</v>
      </c>
      <c r="I183" s="325">
        <f>(I150-I153)*I110</f>
        <v>3535.9700458009602</v>
      </c>
      <c r="J183" s="325">
        <f>(J150-J153)*J110</f>
        <v>4200.5253026469481</v>
      </c>
      <c r="K183" s="325">
        <f>(K150-K153)*K110</f>
        <v>4885.8682159345663</v>
      </c>
      <c r="L183" s="325">
        <f>(L150-L153)*L110</f>
        <v>5609.1603909882779</v>
      </c>
      <c r="M183" s="325">
        <f>(M150-M153)*M110</f>
        <v>6356.5351953079762</v>
      </c>
      <c r="O183" s="570"/>
      <c r="P183" s="631"/>
      <c r="Q183" s="477"/>
      <c r="R183" s="477"/>
      <c r="S183" s="477"/>
      <c r="T183" s="477"/>
      <c r="U183" s="477"/>
      <c r="V183" s="477"/>
      <c r="W183" s="477"/>
      <c r="X183" s="477"/>
      <c r="Y183" s="570"/>
      <c r="Z183" s="570"/>
      <c r="AA183" s="570"/>
    </row>
    <row r="184" spans="2:27" outlineLevel="1" x14ac:dyDescent="0.45">
      <c r="C184" s="307" t="s">
        <v>222</v>
      </c>
      <c r="D184" s="235" t="s">
        <v>126</v>
      </c>
      <c r="E184" s="334">
        <f>SUM(E180:E183)</f>
        <v>60239</v>
      </c>
      <c r="F184" s="334">
        <f t="shared" ref="F184:M184" si="96">SUM(F180:F183)</f>
        <v>57780</v>
      </c>
      <c r="G184" s="334">
        <f t="shared" si="96"/>
        <v>59736</v>
      </c>
      <c r="H184" s="334">
        <f t="shared" si="96"/>
        <v>61747</v>
      </c>
      <c r="I184" s="334">
        <f t="shared" si="96"/>
        <v>62657.355851701657</v>
      </c>
      <c r="J184" s="334">
        <f t="shared" si="96"/>
        <v>65111.875929083581</v>
      </c>
      <c r="K184" s="334">
        <f t="shared" si="96"/>
        <v>67337.614550363913</v>
      </c>
      <c r="L184" s="334">
        <f t="shared" si="96"/>
        <v>69579.324744134909</v>
      </c>
      <c r="M184" s="334">
        <f t="shared" si="96"/>
        <v>71689.328339761458</v>
      </c>
      <c r="O184" s="570"/>
      <c r="P184" s="570"/>
      <c r="Q184" s="570"/>
      <c r="R184" s="570"/>
      <c r="S184" s="608"/>
      <c r="T184" s="608"/>
      <c r="U184" s="570"/>
      <c r="V184" s="570"/>
      <c r="W184" s="570"/>
      <c r="X184" s="570"/>
      <c r="Y184" s="570"/>
      <c r="Z184" s="570"/>
      <c r="AA184" s="570"/>
    </row>
    <row r="185" spans="2:27" outlineLevel="1" x14ac:dyDescent="0.45">
      <c r="E185" s="569"/>
      <c r="F185" s="569"/>
      <c r="G185" s="570"/>
      <c r="H185" s="570"/>
      <c r="I185" s="570"/>
      <c r="J185" s="570"/>
      <c r="K185" s="570"/>
      <c r="L185" s="570"/>
      <c r="M185" s="570"/>
      <c r="O185" s="570"/>
      <c r="P185" s="630"/>
      <c r="Q185" s="570"/>
      <c r="R185" s="570"/>
      <c r="S185" s="608"/>
      <c r="T185" s="608"/>
      <c r="U185" s="570"/>
      <c r="V185" s="570"/>
      <c r="W185" s="570"/>
      <c r="X185" s="570"/>
      <c r="Y185" s="570"/>
      <c r="Z185" s="570"/>
      <c r="AA185" s="570"/>
    </row>
    <row r="186" spans="2:27" outlineLevel="1" x14ac:dyDescent="0.45">
      <c r="C186" s="6" t="s">
        <v>223</v>
      </c>
      <c r="E186" s="569"/>
      <c r="F186" s="569"/>
      <c r="G186" s="570"/>
      <c r="H186" s="570"/>
      <c r="I186" s="570"/>
      <c r="J186" s="570"/>
      <c r="K186" s="570"/>
      <c r="L186" s="570"/>
      <c r="M186" s="570"/>
      <c r="O186" s="630"/>
      <c r="P186" s="630"/>
      <c r="Q186" s="630"/>
      <c r="R186" s="630"/>
      <c r="S186" s="630"/>
      <c r="T186" s="630"/>
      <c r="U186" s="630"/>
      <c r="V186" s="630"/>
      <c r="W186" s="630"/>
      <c r="X186" s="630"/>
      <c r="Y186" s="630"/>
      <c r="Z186" s="570"/>
      <c r="AA186" s="570"/>
    </row>
    <row r="187" spans="2:27" outlineLevel="1" x14ac:dyDescent="0.45">
      <c r="C187" s="306" t="s">
        <v>224</v>
      </c>
      <c r="D187" s="235" t="s">
        <v>126</v>
      </c>
      <c r="E187" s="592">
        <v>116516</v>
      </c>
      <c r="F187" s="592">
        <v>114178</v>
      </c>
      <c r="G187" s="592">
        <v>114818</v>
      </c>
      <c r="H187" s="592">
        <v>111395</v>
      </c>
      <c r="I187" s="325">
        <f>+H187-I222-I223-I236-I237</f>
        <v>113437.51692692866</v>
      </c>
      <c r="J187" s="325">
        <f>+I187-J222-J223-J236-J237</f>
        <v>116013.747775464</v>
      </c>
      <c r="K187" s="325">
        <f>+J187-K222-K223-K236-K237</f>
        <v>119185.26122690244</v>
      </c>
      <c r="L187" s="325">
        <f>+K187-L222-L223-L236-L237</f>
        <v>122951.22608290263</v>
      </c>
      <c r="M187" s="325">
        <f>+L187-M222-M223-M236-M237</f>
        <v>127328.45553791286</v>
      </c>
      <c r="O187" s="630"/>
      <c r="P187" s="630"/>
      <c r="Q187" s="630"/>
      <c r="R187" s="630"/>
      <c r="S187" s="630"/>
      <c r="T187" s="630"/>
      <c r="U187" s="630"/>
      <c r="V187" s="630"/>
      <c r="W187" s="630"/>
      <c r="X187" s="630"/>
      <c r="Y187" s="630"/>
      <c r="Z187" s="570"/>
      <c r="AA187" s="570"/>
    </row>
    <row r="188" spans="2:27" outlineLevel="1" x14ac:dyDescent="0.45">
      <c r="C188" s="306" t="s">
        <v>225</v>
      </c>
      <c r="D188" s="235" t="s">
        <v>126</v>
      </c>
      <c r="E188" s="592">
        <v>16695</v>
      </c>
      <c r="F188" s="592">
        <v>17037</v>
      </c>
      <c r="G188" s="592">
        <v>18242</v>
      </c>
      <c r="H188" s="592">
        <v>31181</v>
      </c>
      <c r="I188" s="321">
        <f>+H188-I224</f>
        <v>31181</v>
      </c>
      <c r="J188" s="321">
        <f>+I188-J224</f>
        <v>31181</v>
      </c>
      <c r="K188" s="321">
        <f>+J188-K224</f>
        <v>31181</v>
      </c>
      <c r="L188" s="321">
        <f>+K188-L224</f>
        <v>31181</v>
      </c>
      <c r="M188" s="321">
        <f>+L188-M224</f>
        <v>31181</v>
      </c>
      <c r="O188" s="630"/>
      <c r="P188" s="630"/>
      <c r="Q188" s="630"/>
      <c r="R188" s="630"/>
      <c r="S188" s="630"/>
      <c r="T188" s="630"/>
      <c r="U188" s="630"/>
      <c r="V188" s="630"/>
      <c r="W188" s="630"/>
      <c r="X188" s="630"/>
      <c r="Y188" s="630"/>
      <c r="Z188" s="570"/>
      <c r="AA188" s="570"/>
    </row>
    <row r="189" spans="2:27" outlineLevel="1" x14ac:dyDescent="0.45">
      <c r="C189" s="306" t="s">
        <v>149</v>
      </c>
      <c r="D189" s="310" t="s">
        <v>126</v>
      </c>
      <c r="E189" s="592">
        <v>6131</v>
      </c>
      <c r="F189" s="592">
        <v>9830</v>
      </c>
      <c r="G189" s="592">
        <v>11726</v>
      </c>
      <c r="H189" s="592">
        <v>14972</v>
      </c>
      <c r="I189" s="571">
        <f>+H189-I238</f>
        <v>14397.25</v>
      </c>
      <c r="J189" s="571">
        <f>+I189-J238</f>
        <v>13822.5</v>
      </c>
      <c r="K189" s="571">
        <f>+J189-K238</f>
        <v>13247.75</v>
      </c>
      <c r="L189" s="571">
        <f>+K189-L238</f>
        <v>12673</v>
      </c>
      <c r="M189" s="571">
        <f>+L189-M238</f>
        <v>12098.25</v>
      </c>
      <c r="O189" s="570"/>
      <c r="P189" s="570"/>
      <c r="Q189" s="570"/>
      <c r="R189" s="570"/>
      <c r="S189" s="608"/>
      <c r="T189" s="608"/>
      <c r="U189" s="570"/>
      <c r="V189" s="570"/>
      <c r="W189" s="570"/>
      <c r="X189" s="570"/>
      <c r="Y189" s="570"/>
      <c r="Z189" s="570"/>
      <c r="AA189" s="570"/>
    </row>
    <row r="190" spans="2:27" outlineLevel="1" x14ac:dyDescent="0.45">
      <c r="C190" s="307" t="s">
        <v>226</v>
      </c>
      <c r="D190" s="235" t="s">
        <v>126</v>
      </c>
      <c r="E190" s="334">
        <f>SUM(E187:E189)</f>
        <v>139342</v>
      </c>
      <c r="F190" s="334">
        <f t="shared" ref="F190:M190" si="97">SUM(F187:F189)</f>
        <v>141045</v>
      </c>
      <c r="G190" s="334">
        <f t="shared" si="97"/>
        <v>144786</v>
      </c>
      <c r="H190" s="334">
        <f t="shared" si="97"/>
        <v>157548</v>
      </c>
      <c r="I190" s="334">
        <f t="shared" si="97"/>
        <v>159015.76692692866</v>
      </c>
      <c r="J190" s="334">
        <f t="shared" si="97"/>
        <v>161017.247775464</v>
      </c>
      <c r="K190" s="334">
        <f t="shared" si="97"/>
        <v>163614.01122690242</v>
      </c>
      <c r="L190" s="334">
        <f t="shared" si="97"/>
        <v>166805.22608290263</v>
      </c>
      <c r="M190" s="334">
        <f t="shared" si="97"/>
        <v>170607.70553791284</v>
      </c>
      <c r="O190" s="570"/>
      <c r="P190" s="630"/>
      <c r="Q190" s="570"/>
      <c r="R190" s="570"/>
      <c r="S190" s="570"/>
      <c r="T190" s="570"/>
      <c r="U190" s="570"/>
      <c r="V190" s="570"/>
      <c r="W190" s="570"/>
      <c r="X190" s="570"/>
      <c r="Y190" s="570"/>
      <c r="Z190" s="570"/>
      <c r="AA190" s="629"/>
    </row>
    <row r="191" spans="2:27" outlineLevel="1" x14ac:dyDescent="0.45">
      <c r="E191" s="570"/>
      <c r="F191" s="570"/>
      <c r="G191" s="570"/>
      <c r="H191" s="570"/>
      <c r="I191" s="570"/>
      <c r="J191" s="570"/>
      <c r="K191" s="570"/>
      <c r="L191" s="570"/>
      <c r="M191" s="570"/>
      <c r="O191" s="570"/>
      <c r="P191" s="630"/>
      <c r="Q191" s="630"/>
      <c r="R191" s="630"/>
      <c r="S191" s="630"/>
      <c r="T191" s="630"/>
      <c r="U191" s="630"/>
      <c r="V191" s="630"/>
      <c r="W191" s="630"/>
      <c r="X191" s="570"/>
      <c r="Y191" s="570"/>
      <c r="Z191" s="570"/>
      <c r="AA191" s="629"/>
    </row>
    <row r="192" spans="2:27" outlineLevel="1" x14ac:dyDescent="0.45">
      <c r="C192" s="6" t="s">
        <v>227</v>
      </c>
      <c r="D192" s="235" t="s">
        <v>126</v>
      </c>
      <c r="E192" s="619">
        <f>+E184+E190</f>
        <v>199581</v>
      </c>
      <c r="F192" s="619">
        <f>+F184+F190</f>
        <v>198825</v>
      </c>
      <c r="G192" s="619">
        <f>+G184+G190</f>
        <v>204522</v>
      </c>
      <c r="H192" s="619">
        <f>+H184+H190</f>
        <v>219295</v>
      </c>
      <c r="I192" s="619">
        <f t="shared" ref="I192:M192" si="98">+I184+I190</f>
        <v>221673.12277863032</v>
      </c>
      <c r="J192" s="619">
        <f t="shared" si="98"/>
        <v>226129.12370454759</v>
      </c>
      <c r="K192" s="619">
        <f t="shared" si="98"/>
        <v>230951.62577726634</v>
      </c>
      <c r="L192" s="619">
        <f t="shared" si="98"/>
        <v>236384.55082703754</v>
      </c>
      <c r="M192" s="619">
        <f t="shared" si="98"/>
        <v>242297.03387767432</v>
      </c>
      <c r="O192" s="630"/>
      <c r="P192" s="630"/>
      <c r="Q192" s="630"/>
      <c r="R192" s="630"/>
      <c r="S192" s="630"/>
      <c r="T192" s="630"/>
      <c r="U192" s="630"/>
      <c r="V192" s="630"/>
      <c r="W192" s="630"/>
      <c r="X192" s="630"/>
      <c r="Y192" s="630"/>
      <c r="Z192" s="570"/>
      <c r="AA192" s="629"/>
    </row>
    <row r="193" spans="2:27" outlineLevel="1" x14ac:dyDescent="0.45">
      <c r="E193" s="569"/>
      <c r="F193" s="569"/>
      <c r="G193" s="570"/>
      <c r="H193" s="570"/>
      <c r="I193" s="570"/>
      <c r="J193" s="570"/>
      <c r="K193" s="570"/>
      <c r="L193" s="570"/>
      <c r="M193" s="570"/>
      <c r="O193" s="570"/>
      <c r="P193" s="570"/>
      <c r="Q193" s="570"/>
      <c r="R193" s="570"/>
      <c r="S193" s="570"/>
      <c r="T193" s="570"/>
      <c r="U193" s="570"/>
      <c r="V193" s="570"/>
      <c r="W193" s="570"/>
      <c r="X193" s="570"/>
      <c r="Y193" s="570"/>
      <c r="Z193" s="570"/>
      <c r="AA193" s="629"/>
    </row>
    <row r="194" spans="2:27" outlineLevel="1" x14ac:dyDescent="0.45">
      <c r="B194" s="587" t="s">
        <v>449</v>
      </c>
      <c r="C194" s="587"/>
      <c r="D194" s="588"/>
      <c r="E194" s="588"/>
      <c r="F194" s="589"/>
      <c r="G194" s="589"/>
      <c r="H194" s="589"/>
      <c r="I194" s="589"/>
      <c r="J194" s="589"/>
      <c r="K194" s="589"/>
      <c r="L194" s="589"/>
      <c r="M194" s="589"/>
      <c r="O194" s="570"/>
      <c r="P194" s="630"/>
      <c r="Q194" s="570"/>
      <c r="R194" s="570"/>
      <c r="S194" s="609"/>
      <c r="T194" s="608"/>
      <c r="U194" s="570"/>
      <c r="V194" s="570"/>
      <c r="W194" s="570"/>
      <c r="X194" s="570"/>
      <c r="Y194" s="570"/>
      <c r="Z194" s="570"/>
      <c r="AA194" s="629"/>
    </row>
    <row r="195" spans="2:27" outlineLevel="1" x14ac:dyDescent="0.45">
      <c r="C195" s="6" t="s">
        <v>228</v>
      </c>
      <c r="E195" s="569"/>
      <c r="F195" s="569"/>
      <c r="G195" s="570"/>
      <c r="H195" s="570"/>
      <c r="I195" s="570"/>
      <c r="J195" s="570"/>
      <c r="K195" s="570"/>
      <c r="L195" s="570"/>
      <c r="M195" s="570"/>
      <c r="O195" s="630"/>
      <c r="P195" s="630"/>
      <c r="Q195" s="630"/>
      <c r="R195" s="630"/>
      <c r="S195" s="630"/>
      <c r="T195" s="630"/>
      <c r="U195" s="630"/>
      <c r="V195" s="630"/>
      <c r="W195" s="630"/>
      <c r="X195" s="630"/>
      <c r="Y195" s="630"/>
      <c r="Z195" s="570"/>
      <c r="AA195" s="629"/>
    </row>
    <row r="196" spans="2:27" outlineLevel="1" x14ac:dyDescent="0.45">
      <c r="C196" s="306" t="s">
        <v>11</v>
      </c>
      <c r="D196" s="235" t="s">
        <v>126</v>
      </c>
      <c r="E196" s="293">
        <v>38487</v>
      </c>
      <c r="F196" s="293">
        <v>41433</v>
      </c>
      <c r="G196" s="293">
        <v>46092</v>
      </c>
      <c r="H196" s="293">
        <v>47060</v>
      </c>
      <c r="I196" s="302">
        <f>(I150-I153)*I112</f>
        <v>49503.580641213441</v>
      </c>
      <c r="J196" s="302">
        <f>(J150-J153)*J112</f>
        <v>52506.566283086853</v>
      </c>
      <c r="K196" s="302">
        <f>(K150-K153)*K112</f>
        <v>55373.173113925084</v>
      </c>
      <c r="L196" s="302">
        <f>(L150-L153)*L112</f>
        <v>58335.268066278084</v>
      </c>
      <c r="M196" s="302">
        <f>(M150-M153)*M112</f>
        <v>61253.884609331413</v>
      </c>
      <c r="O196" s="570"/>
      <c r="P196" s="570"/>
      <c r="Q196" s="570"/>
      <c r="R196" s="570"/>
      <c r="S196" s="570"/>
      <c r="T196" s="570"/>
      <c r="U196" s="570"/>
      <c r="V196" s="570"/>
      <c r="W196" s="570"/>
      <c r="X196" s="570"/>
      <c r="Y196" s="570"/>
      <c r="Z196" s="570"/>
      <c r="AA196" s="629"/>
    </row>
    <row r="197" spans="2:27" outlineLevel="1" x14ac:dyDescent="0.45">
      <c r="C197" s="306" t="s">
        <v>19</v>
      </c>
      <c r="D197" s="235" t="s">
        <v>126</v>
      </c>
      <c r="E197" s="592">
        <v>20128</v>
      </c>
      <c r="F197" s="592">
        <v>21575</v>
      </c>
      <c r="G197" s="592">
        <v>22767</v>
      </c>
      <c r="H197" s="592">
        <v>22587</v>
      </c>
      <c r="I197" s="325">
        <f>(I150-I153)*I113</f>
        <v>23216.145827118897</v>
      </c>
      <c r="J197" s="325">
        <f>(J150-J153)*J113</f>
        <v>24131.99373139238</v>
      </c>
      <c r="K197" s="325">
        <f>(K150-K153)*K113</f>
        <v>24950.475405232304</v>
      </c>
      <c r="L197" s="325">
        <f>(L150-L153)*L113</f>
        <v>25779.675376964253</v>
      </c>
      <c r="M197" s="325">
        <f>(M150-M153)*M113</f>
        <v>26558.733220582537</v>
      </c>
      <c r="O197" s="570"/>
      <c r="P197" s="570"/>
      <c r="Q197" s="570"/>
      <c r="R197" s="570"/>
      <c r="S197" s="610"/>
      <c r="T197" s="608"/>
      <c r="U197" s="570"/>
      <c r="V197" s="477"/>
      <c r="W197" s="477"/>
      <c r="X197" s="477"/>
      <c r="Y197" s="477"/>
      <c r="Z197" s="570"/>
      <c r="AA197" s="629"/>
    </row>
    <row r="198" spans="2:27" outlineLevel="1" x14ac:dyDescent="0.45">
      <c r="C198" s="307" t="s">
        <v>229</v>
      </c>
      <c r="D198" s="311" t="s">
        <v>126</v>
      </c>
      <c r="E198" s="334">
        <f>SUM(E196:E197)</f>
        <v>58615</v>
      </c>
      <c r="F198" s="334">
        <f t="shared" ref="F198:M198" si="99">SUM(F196:F197)</f>
        <v>63008</v>
      </c>
      <c r="G198" s="334">
        <f t="shared" si="99"/>
        <v>68859</v>
      </c>
      <c r="H198" s="334">
        <f t="shared" si="99"/>
        <v>69647</v>
      </c>
      <c r="I198" s="334">
        <f t="shared" si="99"/>
        <v>72719.726468332345</v>
      </c>
      <c r="J198" s="334">
        <f t="shared" si="99"/>
        <v>76638.560014479241</v>
      </c>
      <c r="K198" s="334">
        <f t="shared" si="99"/>
        <v>80323.648519157388</v>
      </c>
      <c r="L198" s="334">
        <f t="shared" si="99"/>
        <v>84114.943443242344</v>
      </c>
      <c r="M198" s="334">
        <f t="shared" si="99"/>
        <v>87812.617829913943</v>
      </c>
      <c r="O198" s="570"/>
      <c r="P198" s="477"/>
      <c r="Q198" s="570"/>
      <c r="R198" s="570"/>
      <c r="S198" s="477"/>
      <c r="T198" s="570"/>
      <c r="U198" s="570"/>
      <c r="V198" s="477"/>
      <c r="W198" s="611"/>
      <c r="X198" s="611"/>
      <c r="Y198" s="612"/>
      <c r="Z198" s="570"/>
      <c r="AA198" s="603"/>
    </row>
    <row r="199" spans="2:27" outlineLevel="1" x14ac:dyDescent="0.45">
      <c r="E199" s="569"/>
      <c r="F199" s="569"/>
      <c r="G199" s="570"/>
      <c r="H199" s="570"/>
      <c r="I199" s="570"/>
      <c r="J199" s="570"/>
      <c r="K199" s="570"/>
      <c r="L199" s="570"/>
      <c r="M199" s="570"/>
      <c r="O199" s="630"/>
      <c r="P199" s="630"/>
      <c r="Q199" s="630"/>
      <c r="R199" s="630"/>
      <c r="S199" s="630"/>
      <c r="T199" s="630"/>
      <c r="U199" s="630"/>
      <c r="V199" s="630"/>
      <c r="W199" s="630"/>
      <c r="X199" s="630"/>
      <c r="Y199" s="630"/>
      <c r="Z199" s="570"/>
      <c r="AA199" s="603"/>
    </row>
    <row r="200" spans="2:27" outlineLevel="1" x14ac:dyDescent="0.45">
      <c r="C200" s="6" t="s">
        <v>230</v>
      </c>
      <c r="E200" s="569"/>
      <c r="F200" s="569"/>
      <c r="G200" s="570"/>
      <c r="H200" s="570"/>
      <c r="I200" s="570"/>
      <c r="J200" s="570"/>
      <c r="K200" s="570"/>
      <c r="L200" s="570"/>
      <c r="M200" s="570"/>
      <c r="O200" s="630"/>
      <c r="P200" s="630"/>
      <c r="Q200" s="630"/>
      <c r="R200" s="630"/>
      <c r="S200" s="630"/>
      <c r="T200" s="630"/>
      <c r="U200" s="630"/>
      <c r="V200" s="630"/>
      <c r="W200" s="630"/>
      <c r="X200" s="630"/>
      <c r="Y200" s="630"/>
      <c r="Z200" s="570"/>
    </row>
    <row r="201" spans="2:27" outlineLevel="1" x14ac:dyDescent="0.45">
      <c r="C201" s="306" t="s">
        <v>235</v>
      </c>
      <c r="D201" s="235" t="s">
        <v>126</v>
      </c>
      <c r="E201" s="592">
        <v>43667</v>
      </c>
      <c r="F201" s="592">
        <v>39370</v>
      </c>
      <c r="G201" s="592">
        <v>39040</v>
      </c>
      <c r="H201" s="592">
        <v>50621</v>
      </c>
      <c r="I201" s="325">
        <f>+H201+I243+I244</f>
        <v>47228.109027289946</v>
      </c>
      <c r="J201" s="325">
        <f>+I201+J243+J244</f>
        <v>45267.532499221095</v>
      </c>
      <c r="K201" s="325">
        <f>+J201+K243+K244</f>
        <v>44070.814128373597</v>
      </c>
      <c r="L201" s="325">
        <f>+K201+L243+L244</f>
        <v>43524.111367154677</v>
      </c>
      <c r="M201" s="325">
        <f>+L201+M243+M244</f>
        <v>43602.345839668233</v>
      </c>
      <c r="Z201" s="570"/>
    </row>
    <row r="202" spans="2:27" outlineLevel="1" x14ac:dyDescent="0.45">
      <c r="C202" s="306" t="s">
        <v>236</v>
      </c>
      <c r="D202" s="235" t="s">
        <v>126</v>
      </c>
      <c r="E202" s="592">
        <v>6367</v>
      </c>
      <c r="F202" s="592">
        <v>6568</v>
      </c>
      <c r="G202" s="592">
        <v>7447</v>
      </c>
      <c r="H202" s="592">
        <v>7412</v>
      </c>
      <c r="I202" s="321">
        <f>+I115*(I25+I48+I71)</f>
        <v>7767.5889999999999</v>
      </c>
      <c r="J202" s="321">
        <f>+J115*(J25+J48+J71)</f>
        <v>8030.3993229999987</v>
      </c>
      <c r="K202" s="321">
        <f>+K115*(K25+K48+K71)</f>
        <v>8285.9437883263981</v>
      </c>
      <c r="L202" s="321">
        <f>+L115*(L25+L48+L71)</f>
        <v>8546.083056546986</v>
      </c>
      <c r="M202" s="321">
        <f>+M115*(M25+M48+M71)</f>
        <v>8797.3315963080331</v>
      </c>
      <c r="O202" s="570"/>
      <c r="P202" s="570"/>
      <c r="Q202" s="570"/>
      <c r="R202" s="570"/>
      <c r="S202" s="570"/>
      <c r="T202" s="570"/>
      <c r="U202" s="570"/>
      <c r="V202" s="570"/>
      <c r="W202" s="570"/>
      <c r="X202" s="570"/>
      <c r="Y202" s="570"/>
      <c r="Z202" s="570"/>
    </row>
    <row r="203" spans="2:27" outlineLevel="1" x14ac:dyDescent="0.45">
      <c r="C203" s="306" t="s">
        <v>237</v>
      </c>
      <c r="D203" s="235" t="s">
        <v>126</v>
      </c>
      <c r="E203" s="592">
        <v>7321</v>
      </c>
      <c r="F203" s="592">
        <v>9344</v>
      </c>
      <c r="G203" s="592">
        <v>8354</v>
      </c>
      <c r="H203" s="592">
        <v>11981</v>
      </c>
      <c r="I203" s="571">
        <f>+H203+I225</f>
        <v>11794.675685587448</v>
      </c>
      <c r="J203" s="571">
        <f>+I203+J225</f>
        <v>11603.75160968737</v>
      </c>
      <c r="K203" s="571">
        <f>+J203+K225</f>
        <v>11409.354272238608</v>
      </c>
      <c r="L203" s="571">
        <f>+K203+L225</f>
        <v>11211.27216976582</v>
      </c>
      <c r="M203" s="571">
        <f>+L203+M225</f>
        <v>11006.477705982717</v>
      </c>
      <c r="O203" s="570"/>
      <c r="P203" s="570"/>
      <c r="Q203" s="570"/>
      <c r="R203" s="570"/>
      <c r="S203" s="570"/>
      <c r="T203" s="570"/>
      <c r="U203" s="570"/>
      <c r="V203" s="570"/>
      <c r="W203" s="570"/>
      <c r="X203" s="570"/>
      <c r="Y203" s="570"/>
      <c r="Z203" s="570"/>
    </row>
    <row r="204" spans="2:27" outlineLevel="1" x14ac:dyDescent="0.45">
      <c r="C204" s="307" t="s">
        <v>231</v>
      </c>
      <c r="D204" s="311" t="s">
        <v>126</v>
      </c>
      <c r="E204" s="334">
        <f>SUM(E201:E203)</f>
        <v>57355</v>
      </c>
      <c r="F204" s="334">
        <f t="shared" ref="F204:J204" si="100">SUM(F201:F203)</f>
        <v>55282</v>
      </c>
      <c r="G204" s="334">
        <f t="shared" si="100"/>
        <v>54841</v>
      </c>
      <c r="H204" s="334">
        <f t="shared" si="100"/>
        <v>70014</v>
      </c>
      <c r="I204" s="334">
        <f t="shared" si="100"/>
        <v>66790.373712877394</v>
      </c>
      <c r="J204" s="334">
        <f t="shared" si="100"/>
        <v>64901.683431908459</v>
      </c>
      <c r="K204" s="334">
        <f t="shared" ref="K204:M204" si="101">SUM(K201:K203)</f>
        <v>63766.112188938598</v>
      </c>
      <c r="L204" s="334">
        <f t="shared" si="101"/>
        <v>63281.466593467485</v>
      </c>
      <c r="M204" s="334">
        <f t="shared" si="101"/>
        <v>63406.155141958981</v>
      </c>
      <c r="O204" s="570"/>
      <c r="P204" s="570"/>
      <c r="Q204" s="570"/>
      <c r="R204" s="570"/>
      <c r="S204" s="570"/>
      <c r="T204" s="570"/>
      <c r="U204" s="570"/>
      <c r="V204" s="570"/>
      <c r="W204" s="570"/>
      <c r="X204" s="570"/>
      <c r="Y204" s="570"/>
      <c r="Z204" s="570"/>
    </row>
    <row r="205" spans="2:27" outlineLevel="1" x14ac:dyDescent="0.45">
      <c r="E205" s="570"/>
      <c r="F205" s="570"/>
      <c r="G205" s="570"/>
      <c r="H205" s="570"/>
      <c r="I205" s="570"/>
      <c r="J205" s="570"/>
      <c r="K205" s="570"/>
      <c r="L205" s="570"/>
      <c r="M205" s="570"/>
      <c r="O205" s="570"/>
      <c r="P205" s="570"/>
      <c r="Q205" s="570"/>
      <c r="R205" s="570"/>
      <c r="S205" s="570"/>
      <c r="T205" s="570"/>
      <c r="U205" s="570"/>
      <c r="V205" s="570"/>
      <c r="W205" s="570"/>
      <c r="X205" s="570"/>
      <c r="Y205" s="570"/>
      <c r="Z205" s="570"/>
    </row>
    <row r="206" spans="2:27" outlineLevel="1" x14ac:dyDescent="0.45">
      <c r="C206" s="6" t="s">
        <v>286</v>
      </c>
      <c r="D206" s="235" t="s">
        <v>126</v>
      </c>
      <c r="E206" s="572">
        <f>+E198+E204</f>
        <v>115970</v>
      </c>
      <c r="F206" s="572">
        <f t="shared" ref="F206:M206" si="102">+F198+F204</f>
        <v>118290</v>
      </c>
      <c r="G206" s="572">
        <f t="shared" si="102"/>
        <v>123700</v>
      </c>
      <c r="H206" s="572">
        <f t="shared" si="102"/>
        <v>139661</v>
      </c>
      <c r="I206" s="572">
        <f t="shared" si="102"/>
        <v>139510.10018120974</v>
      </c>
      <c r="J206" s="572">
        <f t="shared" si="102"/>
        <v>141540.2434463877</v>
      </c>
      <c r="K206" s="572">
        <f t="shared" si="102"/>
        <v>144089.76070809597</v>
      </c>
      <c r="L206" s="572">
        <f t="shared" si="102"/>
        <v>147396.41003670983</v>
      </c>
      <c r="M206" s="572">
        <f t="shared" si="102"/>
        <v>151218.77297187294</v>
      </c>
      <c r="O206" s="570"/>
      <c r="P206" s="570"/>
      <c r="Q206" s="570"/>
      <c r="R206" s="570"/>
      <c r="S206" s="570"/>
      <c r="T206" s="570"/>
      <c r="U206" s="570"/>
      <c r="V206" s="570"/>
      <c r="W206" s="570"/>
      <c r="X206" s="570"/>
      <c r="Y206" s="570"/>
      <c r="Z206" s="570"/>
    </row>
    <row r="207" spans="2:27" outlineLevel="1" x14ac:dyDescent="0.45">
      <c r="E207" s="570"/>
      <c r="F207" s="570"/>
      <c r="G207" s="570"/>
      <c r="H207" s="570"/>
      <c r="I207" s="570"/>
      <c r="J207" s="570"/>
      <c r="K207" s="570"/>
      <c r="L207" s="570"/>
      <c r="M207" s="570"/>
      <c r="O207" s="570"/>
      <c r="P207" s="570"/>
      <c r="Q207" s="570"/>
      <c r="R207" s="570"/>
      <c r="S207" s="570"/>
      <c r="T207" s="570"/>
      <c r="U207" s="570"/>
      <c r="V207" s="570"/>
      <c r="W207" s="570"/>
      <c r="X207" s="570"/>
      <c r="Y207" s="570"/>
      <c r="Z207" s="570"/>
    </row>
    <row r="208" spans="2:27" outlineLevel="1" x14ac:dyDescent="0.45">
      <c r="C208" s="6" t="s">
        <v>232</v>
      </c>
      <c r="D208" s="235" t="s">
        <v>126</v>
      </c>
      <c r="E208" s="621">
        <v>80546</v>
      </c>
      <c r="F208" s="621">
        <v>77798</v>
      </c>
      <c r="G208" s="621">
        <v>77869</v>
      </c>
      <c r="H208" s="621">
        <v>72496</v>
      </c>
      <c r="I208" s="572">
        <f>+H208+I219+I226+I242+I246+I249+I252</f>
        <v>74891.648441657948</v>
      </c>
      <c r="J208" s="572">
        <f t="shared" ref="J208:M208" si="103">+I208+J219+J226+J242+J246+J249+J252</f>
        <v>77171.728241792007</v>
      </c>
      <c r="K208" s="572">
        <f t="shared" si="103"/>
        <v>79287.00635936312</v>
      </c>
      <c r="L208" s="572">
        <f t="shared" si="103"/>
        <v>81243.133380782878</v>
      </c>
      <c r="M208" s="572">
        <f t="shared" si="103"/>
        <v>83147.565980678133</v>
      </c>
      <c r="O208" s="570"/>
      <c r="P208" s="570"/>
      <c r="Q208" s="570"/>
      <c r="R208" s="570"/>
      <c r="S208" s="570"/>
      <c r="T208" s="570"/>
      <c r="U208" s="570"/>
      <c r="V208" s="570"/>
      <c r="W208" s="570"/>
      <c r="X208" s="570"/>
      <c r="Y208" s="570"/>
      <c r="Z208" s="570"/>
    </row>
    <row r="209" spans="2:26" outlineLevel="1" x14ac:dyDescent="0.45">
      <c r="C209" s="312" t="s">
        <v>233</v>
      </c>
      <c r="D209" s="235" t="s">
        <v>126</v>
      </c>
      <c r="E209" s="595">
        <v>3065</v>
      </c>
      <c r="F209" s="595">
        <v>2737</v>
      </c>
      <c r="G209" s="595">
        <v>2953</v>
      </c>
      <c r="H209" s="595">
        <v>7138</v>
      </c>
      <c r="I209" s="573">
        <f>+H209+I221+I247+I248</f>
        <v>7271.374155762629</v>
      </c>
      <c r="J209" s="573">
        <f t="shared" ref="J209:M209" si="104">+I209+J221+J247+J248</f>
        <v>7417.1520163678433</v>
      </c>
      <c r="K209" s="573">
        <f t="shared" si="104"/>
        <v>7574.8587098072185</v>
      </c>
      <c r="L209" s="573">
        <f t="shared" si="104"/>
        <v>7745.007409544809</v>
      </c>
      <c r="M209" s="573">
        <f t="shared" si="104"/>
        <v>7930.6949251231954</v>
      </c>
      <c r="O209" s="570"/>
      <c r="P209" s="570"/>
      <c r="Q209" s="570"/>
      <c r="R209" s="570"/>
      <c r="S209" s="608"/>
      <c r="T209" s="608"/>
      <c r="U209" s="570"/>
      <c r="V209" s="570"/>
      <c r="W209" s="570"/>
      <c r="X209" s="570"/>
      <c r="Y209" s="570"/>
      <c r="Z209" s="570"/>
    </row>
    <row r="210" spans="2:26" outlineLevel="1" x14ac:dyDescent="0.45">
      <c r="C210" s="6" t="s">
        <v>234</v>
      </c>
      <c r="D210" s="311" t="s">
        <v>126</v>
      </c>
      <c r="E210" s="572">
        <f>SUM(E208:E209)</f>
        <v>83611</v>
      </c>
      <c r="F210" s="572">
        <f t="shared" ref="F210:M210" si="105">SUM(F208:F209)</f>
        <v>80535</v>
      </c>
      <c r="G210" s="572">
        <f t="shared" si="105"/>
        <v>80822</v>
      </c>
      <c r="H210" s="572">
        <f t="shared" si="105"/>
        <v>79634</v>
      </c>
      <c r="I210" s="572">
        <f t="shared" si="105"/>
        <v>82163.022597420582</v>
      </c>
      <c r="J210" s="572">
        <f t="shared" si="105"/>
        <v>84588.880258159857</v>
      </c>
      <c r="K210" s="572">
        <f t="shared" si="105"/>
        <v>86861.865069170337</v>
      </c>
      <c r="L210" s="572">
        <f t="shared" si="105"/>
        <v>88988.140790327685</v>
      </c>
      <c r="M210" s="572">
        <f t="shared" si="105"/>
        <v>91078.260905801333</v>
      </c>
      <c r="O210" s="570"/>
      <c r="P210" s="570"/>
      <c r="Q210" s="570"/>
      <c r="R210" s="570"/>
      <c r="S210" s="608"/>
      <c r="T210" s="608"/>
      <c r="U210" s="570"/>
      <c r="V210" s="570"/>
      <c r="W210" s="570"/>
      <c r="X210" s="570"/>
      <c r="Y210" s="570"/>
      <c r="Z210" s="570"/>
    </row>
    <row r="211" spans="2:26" outlineLevel="1" x14ac:dyDescent="0.45">
      <c r="E211" s="344"/>
      <c r="F211" s="344"/>
      <c r="G211" s="344"/>
      <c r="H211" s="344"/>
      <c r="I211" s="344"/>
      <c r="J211" s="344"/>
      <c r="K211" s="344"/>
      <c r="L211" s="344"/>
      <c r="M211" s="344"/>
      <c r="O211" s="570"/>
      <c r="P211" s="570"/>
      <c r="Q211" s="570"/>
      <c r="R211" s="570"/>
      <c r="S211" s="608"/>
      <c r="T211" s="608"/>
      <c r="U211" s="570"/>
      <c r="V211" s="570"/>
      <c r="W211" s="570"/>
      <c r="X211" s="570"/>
      <c r="Y211" s="570"/>
      <c r="Z211" s="570"/>
    </row>
    <row r="212" spans="2:26" outlineLevel="1" x14ac:dyDescent="0.45">
      <c r="C212" s="6" t="s">
        <v>238</v>
      </c>
      <c r="D212" s="235" t="s">
        <v>126</v>
      </c>
      <c r="E212" s="620">
        <f>+E206+E210</f>
        <v>199581</v>
      </c>
      <c r="F212" s="620">
        <f t="shared" ref="F212:M212" si="106">+F206+F210</f>
        <v>198825</v>
      </c>
      <c r="G212" s="620">
        <f t="shared" si="106"/>
        <v>204522</v>
      </c>
      <c r="H212" s="620">
        <f t="shared" si="106"/>
        <v>219295</v>
      </c>
      <c r="I212" s="620">
        <f t="shared" si="106"/>
        <v>221673.12277863032</v>
      </c>
      <c r="J212" s="620">
        <f t="shared" si="106"/>
        <v>226129.12370454756</v>
      </c>
      <c r="K212" s="620">
        <f t="shared" si="106"/>
        <v>230951.62577726631</v>
      </c>
      <c r="L212" s="620">
        <f t="shared" si="106"/>
        <v>236384.55082703751</v>
      </c>
      <c r="M212" s="620">
        <f t="shared" si="106"/>
        <v>242297.03387767426</v>
      </c>
      <c r="O212" s="570"/>
      <c r="P212" s="570"/>
      <c r="Q212" s="570"/>
      <c r="R212" s="570"/>
      <c r="S212" s="570"/>
      <c r="T212" s="570"/>
      <c r="U212" s="570"/>
      <c r="V212" s="570"/>
      <c r="W212" s="570"/>
      <c r="X212" s="570"/>
      <c r="Y212" s="570"/>
      <c r="Z212" s="570"/>
    </row>
    <row r="213" spans="2:26" outlineLevel="1" x14ac:dyDescent="0.45">
      <c r="E213" s="344"/>
      <c r="F213" s="344"/>
      <c r="G213" s="344"/>
      <c r="H213" s="344"/>
      <c r="I213" s="344"/>
      <c r="J213" s="344"/>
      <c r="K213" s="344"/>
      <c r="L213" s="344"/>
      <c r="M213" s="344"/>
      <c r="O213" s="570"/>
      <c r="P213" s="570"/>
      <c r="Q213" s="570"/>
      <c r="R213" s="570"/>
      <c r="S213" s="570"/>
      <c r="T213" s="570"/>
      <c r="U213" s="570"/>
      <c r="V213" s="570"/>
      <c r="W213" s="570"/>
      <c r="X213" s="570"/>
      <c r="Y213" s="570"/>
      <c r="Z213" s="570"/>
    </row>
    <row r="214" spans="2:26" outlineLevel="1" x14ac:dyDescent="0.45">
      <c r="C214" s="5" t="s">
        <v>239</v>
      </c>
      <c r="E214" s="604">
        <f>E192-E212</f>
        <v>0</v>
      </c>
      <c r="F214" s="604">
        <f t="shared" ref="F214:M214" si="107">F192-F212</f>
        <v>0</v>
      </c>
      <c r="G214" s="604">
        <f t="shared" si="107"/>
        <v>0</v>
      </c>
      <c r="H214" s="604">
        <f t="shared" si="107"/>
        <v>0</v>
      </c>
      <c r="I214" s="604">
        <f t="shared" si="107"/>
        <v>0</v>
      </c>
      <c r="J214" s="604">
        <f t="shared" si="107"/>
        <v>0</v>
      </c>
      <c r="K214" s="604">
        <f t="shared" si="107"/>
        <v>0</v>
      </c>
      <c r="L214" s="604">
        <f t="shared" si="107"/>
        <v>0</v>
      </c>
      <c r="M214" s="604">
        <f t="shared" si="107"/>
        <v>0</v>
      </c>
      <c r="O214" s="570"/>
      <c r="P214" s="570"/>
      <c r="Q214" s="570"/>
      <c r="R214" s="570"/>
      <c r="S214" s="570"/>
      <c r="T214" s="570"/>
      <c r="U214" s="570"/>
      <c r="V214" s="570"/>
      <c r="W214" s="570"/>
      <c r="X214" s="570"/>
      <c r="Y214" s="570"/>
      <c r="Z214" s="570"/>
    </row>
    <row r="215" spans="2:26" x14ac:dyDescent="0.45">
      <c r="O215" s="570"/>
      <c r="P215" s="570"/>
      <c r="Q215" s="570"/>
      <c r="R215" s="570"/>
      <c r="S215" s="570"/>
      <c r="T215" s="570"/>
      <c r="U215" s="570"/>
      <c r="V215" s="570"/>
      <c r="W215" s="570"/>
      <c r="X215" s="570"/>
      <c r="Y215" s="570"/>
      <c r="Z215" s="570"/>
    </row>
    <row r="216" spans="2:26" x14ac:dyDescent="0.45">
      <c r="B216" s="11"/>
      <c r="C216" s="11"/>
      <c r="D216" s="12"/>
      <c r="E216" s="13" t="str">
        <f>$E$19</f>
        <v>Historical:</v>
      </c>
      <c r="F216" s="13"/>
      <c r="G216" s="13"/>
      <c r="H216" s="14"/>
      <c r="I216" s="13" t="str">
        <f>$I$19</f>
        <v>Projected:</v>
      </c>
      <c r="J216" s="13"/>
      <c r="K216" s="13"/>
      <c r="L216" s="13"/>
      <c r="M216" s="13"/>
      <c r="O216" s="570"/>
      <c r="P216" s="570"/>
      <c r="Q216" s="570"/>
      <c r="R216" s="570"/>
      <c r="S216" s="570"/>
      <c r="T216" s="570"/>
      <c r="U216" s="570"/>
      <c r="V216" s="570"/>
      <c r="W216" s="570"/>
      <c r="X216" s="570"/>
      <c r="Y216" s="570"/>
      <c r="Z216" s="570"/>
    </row>
    <row r="217" spans="2:26" x14ac:dyDescent="0.45">
      <c r="B217" s="233" t="s">
        <v>240</v>
      </c>
      <c r="C217" s="233"/>
      <c r="D217" s="234" t="str">
        <f>$D$20</f>
        <v>Units:</v>
      </c>
      <c r="E217" s="16">
        <f>$E$20</f>
        <v>42400</v>
      </c>
      <c r="F217" s="16">
        <f>$F$20</f>
        <v>42766</v>
      </c>
      <c r="G217" s="16">
        <f>$G$20</f>
        <v>43131</v>
      </c>
      <c r="H217" s="17">
        <f>$H$20</f>
        <v>43496</v>
      </c>
      <c r="I217" s="16">
        <f>$I$20</f>
        <v>43861</v>
      </c>
      <c r="J217" s="16">
        <f>$J$20</f>
        <v>44227</v>
      </c>
      <c r="K217" s="16">
        <f>$K$20</f>
        <v>44592</v>
      </c>
      <c r="L217" s="16">
        <f>$L$20</f>
        <v>44957</v>
      </c>
      <c r="M217" s="16">
        <f>$M$20</f>
        <v>45322</v>
      </c>
      <c r="O217" s="570"/>
      <c r="P217" s="570"/>
      <c r="Q217" s="570"/>
      <c r="R217" s="570"/>
      <c r="S217" s="570"/>
      <c r="T217" s="570"/>
      <c r="U217" s="570"/>
      <c r="V217" s="570"/>
      <c r="W217" s="570"/>
      <c r="X217" s="570"/>
      <c r="Y217" s="570"/>
      <c r="Z217" s="570"/>
    </row>
    <row r="218" spans="2:26" outlineLevel="1" x14ac:dyDescent="0.45">
      <c r="B218" s="587" t="s">
        <v>446</v>
      </c>
      <c r="C218" s="587"/>
      <c r="D218" s="588"/>
      <c r="E218" s="588"/>
      <c r="F218" s="589" t="s">
        <v>241</v>
      </c>
      <c r="G218" s="589" t="s">
        <v>241</v>
      </c>
      <c r="H218" s="589" t="s">
        <v>241</v>
      </c>
      <c r="I218" s="589" t="s">
        <v>241</v>
      </c>
      <c r="J218" s="589" t="s">
        <v>241</v>
      </c>
      <c r="K218" s="589" t="s">
        <v>241</v>
      </c>
      <c r="L218" s="589" t="s">
        <v>241</v>
      </c>
      <c r="M218" s="589" t="s">
        <v>241</v>
      </c>
      <c r="O218" s="570"/>
      <c r="P218" s="570"/>
      <c r="Q218" s="570"/>
      <c r="R218" s="570"/>
      <c r="S218" s="570"/>
      <c r="T218" s="570"/>
      <c r="U218" s="570"/>
      <c r="V218" s="570"/>
      <c r="W218" s="570"/>
      <c r="X218" s="570"/>
      <c r="Y218" s="570"/>
      <c r="Z218" s="570"/>
    </row>
    <row r="219" spans="2:26" outlineLevel="1" x14ac:dyDescent="0.45">
      <c r="B219" s="314"/>
      <c r="C219" s="6" t="s">
        <v>213</v>
      </c>
      <c r="D219" s="235" t="s">
        <v>126</v>
      </c>
      <c r="E219" s="619">
        <f t="shared" ref="E219:M219" si="108">+E168</f>
        <v>14694</v>
      </c>
      <c r="F219" s="619">
        <f t="shared" si="108"/>
        <v>13643</v>
      </c>
      <c r="G219" s="619">
        <f t="shared" si="108"/>
        <v>9862</v>
      </c>
      <c r="H219" s="619">
        <f t="shared" si="108"/>
        <v>6670</v>
      </c>
      <c r="I219" s="619">
        <f t="shared" si="108"/>
        <v>13249.83582473967</v>
      </c>
      <c r="J219" s="619">
        <f t="shared" si="108"/>
        <v>13503.543786589087</v>
      </c>
      <c r="K219" s="619">
        <f t="shared" si="108"/>
        <v>13674.474283891414</v>
      </c>
      <c r="L219" s="619">
        <f t="shared" si="108"/>
        <v>13857.531095169201</v>
      </c>
      <c r="M219" s="619">
        <f t="shared" si="108"/>
        <v>14248.397542193681</v>
      </c>
      <c r="O219" s="570"/>
      <c r="P219" s="570"/>
      <c r="Q219" s="570"/>
      <c r="R219" s="570"/>
      <c r="S219" s="570"/>
      <c r="T219" s="570"/>
      <c r="U219" s="570"/>
      <c r="V219" s="570"/>
      <c r="W219" s="570"/>
      <c r="X219" s="570"/>
      <c r="Y219" s="570"/>
      <c r="Z219" s="570"/>
    </row>
    <row r="220" spans="2:26" outlineLevel="1" x14ac:dyDescent="0.45">
      <c r="B220" s="314"/>
      <c r="C220" s="6" t="s">
        <v>12</v>
      </c>
      <c r="D220" s="314"/>
      <c r="E220" s="570"/>
      <c r="F220" s="489"/>
      <c r="G220" s="489"/>
      <c r="H220" s="489"/>
      <c r="I220" s="489"/>
      <c r="J220" s="489"/>
      <c r="K220" s="489"/>
      <c r="L220" s="489"/>
      <c r="M220" s="489"/>
      <c r="P220" s="605"/>
      <c r="Q220" s="605"/>
      <c r="R220" s="605"/>
      <c r="S220" s="605"/>
      <c r="T220" s="605"/>
      <c r="U220" s="605"/>
      <c r="V220" s="605"/>
      <c r="W220" s="605"/>
      <c r="X220" s="605"/>
      <c r="Y220" s="605"/>
    </row>
    <row r="221" spans="2:26" outlineLevel="1" x14ac:dyDescent="0.45">
      <c r="B221" s="314"/>
      <c r="C221" s="341" t="s">
        <v>285</v>
      </c>
      <c r="D221" s="235" t="s">
        <v>126</v>
      </c>
      <c r="E221" s="325">
        <f t="shared" ref="E221:M221" si="109">-E167</f>
        <v>386</v>
      </c>
      <c r="F221" s="325">
        <f t="shared" si="109"/>
        <v>650</v>
      </c>
      <c r="G221" s="325">
        <f t="shared" si="109"/>
        <v>661</v>
      </c>
      <c r="H221" s="325">
        <f t="shared" si="109"/>
        <v>509</v>
      </c>
      <c r="I221" s="325">
        <f t="shared" si="109"/>
        <v>1074.31101281673</v>
      </c>
      <c r="J221" s="325">
        <f t="shared" si="109"/>
        <v>1174.2211988338336</v>
      </c>
      <c r="K221" s="325">
        <f t="shared" si="109"/>
        <v>1270.306354241279</v>
      </c>
      <c r="L221" s="325">
        <f t="shared" si="109"/>
        <v>1370.5250533683825</v>
      </c>
      <c r="M221" s="325">
        <f t="shared" si="109"/>
        <v>1495.6881397882869</v>
      </c>
      <c r="P221" s="605"/>
      <c r="Q221" s="605"/>
      <c r="R221" s="605"/>
      <c r="S221" s="605"/>
      <c r="T221" s="605"/>
      <c r="U221" s="605"/>
      <c r="V221" s="605"/>
      <c r="W221" s="605"/>
      <c r="X221" s="605"/>
      <c r="Y221" s="605"/>
    </row>
    <row r="222" spans="2:26" outlineLevel="1" x14ac:dyDescent="0.45">
      <c r="B222" s="314"/>
      <c r="C222" s="315" t="s">
        <v>150</v>
      </c>
      <c r="D222" s="235" t="s">
        <v>126</v>
      </c>
      <c r="E222" s="319">
        <v>9454</v>
      </c>
      <c r="F222" s="319">
        <v>10080</v>
      </c>
      <c r="G222" s="319">
        <v>10529</v>
      </c>
      <c r="H222" s="319">
        <v>10678</v>
      </c>
      <c r="I222" s="321">
        <f>+I150*I118</f>
        <v>10532.369407764476</v>
      </c>
      <c r="J222" s="321">
        <f>+J150*J118</f>
        <v>10937.073472233766</v>
      </c>
      <c r="K222" s="321">
        <f>+K150*K118</f>
        <v>11298.489008499322</v>
      </c>
      <c r="L222" s="321">
        <f>+L150*L118</f>
        <v>11665.743101585856</v>
      </c>
      <c r="M222" s="321">
        <f>+M150*M118</f>
        <v>12017.948511352732</v>
      </c>
    </row>
    <row r="223" spans="2:26" outlineLevel="1" x14ac:dyDescent="0.45">
      <c r="B223" s="314"/>
      <c r="C223" s="315" t="s">
        <v>250</v>
      </c>
      <c r="D223" s="235" t="s">
        <v>126</v>
      </c>
      <c r="E223" s="321">
        <f t="shared" ref="E223:M223" si="110">-E161</f>
        <v>0</v>
      </c>
      <c r="F223" s="321">
        <f t="shared" si="110"/>
        <v>0</v>
      </c>
      <c r="G223" s="321">
        <f t="shared" si="110"/>
        <v>3136</v>
      </c>
      <c r="H223" s="321">
        <f t="shared" si="110"/>
        <v>8368</v>
      </c>
      <c r="I223" s="321">
        <f t="shared" si="110"/>
        <v>0</v>
      </c>
      <c r="J223" s="321">
        <f t="shared" si="110"/>
        <v>0</v>
      </c>
      <c r="K223" s="321">
        <f t="shared" si="110"/>
        <v>0</v>
      </c>
      <c r="L223" s="321">
        <f t="shared" si="110"/>
        <v>0</v>
      </c>
      <c r="M223" s="321">
        <f t="shared" si="110"/>
        <v>0</v>
      </c>
    </row>
    <row r="224" spans="2:26" outlineLevel="1" x14ac:dyDescent="0.45">
      <c r="B224" s="314"/>
      <c r="C224" s="341" t="s">
        <v>283</v>
      </c>
      <c r="D224" s="235" t="s">
        <v>126</v>
      </c>
      <c r="E224" s="321">
        <f t="shared" ref="E224:M224" si="111">-E160</f>
        <v>0</v>
      </c>
      <c r="F224" s="321">
        <f t="shared" si="111"/>
        <v>0</v>
      </c>
      <c r="G224" s="321">
        <f t="shared" si="111"/>
        <v>0</v>
      </c>
      <c r="H224" s="321">
        <f t="shared" si="111"/>
        <v>0</v>
      </c>
      <c r="I224" s="321">
        <f t="shared" si="111"/>
        <v>0</v>
      </c>
      <c r="J224" s="321">
        <f t="shared" si="111"/>
        <v>0</v>
      </c>
      <c r="K224" s="321">
        <f t="shared" si="111"/>
        <v>0</v>
      </c>
      <c r="L224" s="321">
        <f t="shared" si="111"/>
        <v>0</v>
      </c>
      <c r="M224" s="321">
        <f t="shared" si="111"/>
        <v>0</v>
      </c>
    </row>
    <row r="225" spans="2:25" outlineLevel="1" x14ac:dyDescent="0.45">
      <c r="B225" s="314"/>
      <c r="C225" s="315" t="s">
        <v>147</v>
      </c>
      <c r="D225" s="235" t="s">
        <v>126</v>
      </c>
      <c r="E225" s="319">
        <v>-672</v>
      </c>
      <c r="F225" s="319">
        <v>761</v>
      </c>
      <c r="G225" s="319">
        <v>-304</v>
      </c>
      <c r="H225" s="319">
        <v>-499</v>
      </c>
      <c r="I225" s="321">
        <f>-I165*I119</f>
        <v>-186.32431441255252</v>
      </c>
      <c r="J225" s="321">
        <f>-J165*J119</f>
        <v>-190.924075900079</v>
      </c>
      <c r="K225" s="321">
        <f>-K165*K119</f>
        <v>-194.39733744876162</v>
      </c>
      <c r="L225" s="321">
        <f>-L165*L119</f>
        <v>-198.08210247278879</v>
      </c>
      <c r="M225" s="321">
        <f>-M165*M119</f>
        <v>-204.79446378310172</v>
      </c>
    </row>
    <row r="226" spans="2:25" outlineLevel="1" x14ac:dyDescent="0.45">
      <c r="B226" s="314"/>
      <c r="C226" s="315" t="s">
        <v>251</v>
      </c>
      <c r="D226" s="235" t="s">
        <v>126</v>
      </c>
      <c r="E226" s="319">
        <v>1410</v>
      </c>
      <c r="F226" s="319">
        <v>206</v>
      </c>
      <c r="G226" s="319">
        <v>1210</v>
      </c>
      <c r="H226" s="319">
        <v>1734</v>
      </c>
      <c r="I226" s="321">
        <f>+I150*I120</f>
        <v>1203.0240018246857</v>
      </c>
      <c r="J226" s="321">
        <f>+J150*J120</f>
        <v>1249.2499443779009</v>
      </c>
      <c r="K226" s="321">
        <f>+K150*K120</f>
        <v>1290.5314023221383</v>
      </c>
      <c r="L226" s="321">
        <f>+L150*L120</f>
        <v>1332.4797495217488</v>
      </c>
      <c r="M226" s="321">
        <f>+M150*M120</f>
        <v>1372.7092121543155</v>
      </c>
    </row>
    <row r="227" spans="2:25" outlineLevel="1" x14ac:dyDescent="0.45">
      <c r="B227" s="314"/>
      <c r="C227" s="6" t="s">
        <v>242</v>
      </c>
      <c r="D227" s="314"/>
      <c r="E227" s="321"/>
      <c r="F227" s="321"/>
      <c r="G227" s="321"/>
      <c r="H227" s="321"/>
      <c r="I227" s="321"/>
      <c r="J227" s="321"/>
      <c r="K227" s="321"/>
      <c r="L227" s="321"/>
      <c r="M227" s="321"/>
      <c r="O227" s="603"/>
      <c r="P227" s="603"/>
      <c r="Q227" s="603"/>
      <c r="R227" s="603"/>
      <c r="S227" s="603"/>
      <c r="T227" s="603"/>
      <c r="U227" s="603"/>
      <c r="V227" s="603"/>
      <c r="W227" s="603"/>
      <c r="X227" s="603"/>
      <c r="Y227" s="603"/>
    </row>
    <row r="228" spans="2:25" outlineLevel="1" x14ac:dyDescent="0.45">
      <c r="B228" s="314"/>
      <c r="C228" s="315" t="s">
        <v>9</v>
      </c>
      <c r="D228" s="235" t="s">
        <v>126</v>
      </c>
      <c r="E228" s="319">
        <v>-19</v>
      </c>
      <c r="F228" s="319">
        <v>-402</v>
      </c>
      <c r="G228" s="319">
        <v>-1074</v>
      </c>
      <c r="H228" s="319">
        <v>-368</v>
      </c>
      <c r="I228" s="321">
        <f t="shared" ref="I228:M230" si="112">+H181-I181</f>
        <v>76.599727009450362</v>
      </c>
      <c r="J228" s="321">
        <f t="shared" si="112"/>
        <v>-220.87065495886327</v>
      </c>
      <c r="K228" s="321">
        <f t="shared" si="112"/>
        <v>-230.57998402450539</v>
      </c>
      <c r="L228" s="321">
        <f t="shared" si="112"/>
        <v>-216.41150394030501</v>
      </c>
      <c r="M228" s="321">
        <f t="shared" si="112"/>
        <v>-207.54377924823075</v>
      </c>
    </row>
    <row r="229" spans="2:25" outlineLevel="1" x14ac:dyDescent="0.45">
      <c r="B229" s="314"/>
      <c r="C229" s="315" t="s">
        <v>10</v>
      </c>
      <c r="D229" s="235" t="s">
        <v>126</v>
      </c>
      <c r="E229" s="319">
        <v>-703</v>
      </c>
      <c r="F229" s="319">
        <v>1021</v>
      </c>
      <c r="G229" s="319">
        <v>-140</v>
      </c>
      <c r="H229" s="319">
        <v>-1311</v>
      </c>
      <c r="I229" s="321">
        <f t="shared" si="112"/>
        <v>-609.9780462565468</v>
      </c>
      <c r="J229" s="321">
        <f t="shared" ref="J229:J230" si="113">+I182-J182</f>
        <v>-1252.0837250766272</v>
      </c>
      <c r="K229" s="321">
        <f t="shared" ref="K229:K230" si="114">+J182-K182</f>
        <v>-1026.5075078825103</v>
      </c>
      <c r="L229" s="321">
        <f t="shared" ref="L229:L230" si="115">+K182-L182</f>
        <v>-1014.9882805536472</v>
      </c>
      <c r="M229" s="321">
        <f t="shared" ref="M229:M230" si="116">+L182-M182</f>
        <v>-885.42291092986125</v>
      </c>
    </row>
    <row r="230" spans="2:25" outlineLevel="1" x14ac:dyDescent="0.45">
      <c r="B230" s="314"/>
      <c r="C230" s="326" t="s">
        <v>221</v>
      </c>
      <c r="D230" s="235" t="s">
        <v>126</v>
      </c>
      <c r="E230" s="319">
        <v>2008</v>
      </c>
      <c r="F230" s="319">
        <v>0</v>
      </c>
      <c r="G230" s="319">
        <v>0</v>
      </c>
      <c r="H230" s="319">
        <v>0</v>
      </c>
      <c r="I230" s="321">
        <f t="shared" si="112"/>
        <v>87.029954199039821</v>
      </c>
      <c r="J230" s="321">
        <f t="shared" si="113"/>
        <v>-664.55525684598797</v>
      </c>
      <c r="K230" s="321">
        <f t="shared" si="114"/>
        <v>-685.3429132876181</v>
      </c>
      <c r="L230" s="321">
        <f t="shared" si="115"/>
        <v>-723.29217505371162</v>
      </c>
      <c r="M230" s="321">
        <f t="shared" si="116"/>
        <v>-747.37480431969834</v>
      </c>
    </row>
    <row r="231" spans="2:25" outlineLevel="1" x14ac:dyDescent="0.45">
      <c r="B231" s="314"/>
      <c r="C231" s="315" t="s">
        <v>11</v>
      </c>
      <c r="D231" s="235" t="s">
        <v>126</v>
      </c>
      <c r="E231" s="319">
        <v>1466</v>
      </c>
      <c r="F231" s="319">
        <v>3942</v>
      </c>
      <c r="G231" s="319">
        <v>4086</v>
      </c>
      <c r="H231" s="319">
        <v>1831</v>
      </c>
      <c r="I231" s="321">
        <f t="shared" ref="I231:M232" si="117">+I196-H196</f>
        <v>2443.5806412134407</v>
      </c>
      <c r="J231" s="321">
        <f t="shared" si="117"/>
        <v>3002.9856418734125</v>
      </c>
      <c r="K231" s="321">
        <f t="shared" si="117"/>
        <v>2866.606830838231</v>
      </c>
      <c r="L231" s="321">
        <f t="shared" si="117"/>
        <v>2962.0949523529998</v>
      </c>
      <c r="M231" s="321">
        <f t="shared" si="117"/>
        <v>2918.6165430533292</v>
      </c>
    </row>
    <row r="232" spans="2:25" outlineLevel="1" x14ac:dyDescent="0.45">
      <c r="B232" s="314"/>
      <c r="C232" s="315" t="s">
        <v>19</v>
      </c>
      <c r="D232" s="310" t="s">
        <v>126</v>
      </c>
      <c r="E232" s="319">
        <v>-472</v>
      </c>
      <c r="F232" s="319">
        <v>1772</v>
      </c>
      <c r="G232" s="319">
        <v>371</v>
      </c>
      <c r="H232" s="319">
        <v>143</v>
      </c>
      <c r="I232" s="321">
        <f t="shared" si="117"/>
        <v>629.1458271188967</v>
      </c>
      <c r="J232" s="321">
        <f t="shared" si="117"/>
        <v>915.84790427348344</v>
      </c>
      <c r="K232" s="321">
        <f t="shared" si="117"/>
        <v>818.48167383992404</v>
      </c>
      <c r="L232" s="321">
        <f t="shared" si="117"/>
        <v>829.19997173194861</v>
      </c>
      <c r="M232" s="321">
        <f t="shared" si="117"/>
        <v>779.0578436182841</v>
      </c>
    </row>
    <row r="233" spans="2:25" outlineLevel="1" x14ac:dyDescent="0.45">
      <c r="B233" s="314"/>
      <c r="C233" s="307" t="s">
        <v>383</v>
      </c>
      <c r="D233" s="235" t="s">
        <v>126</v>
      </c>
      <c r="E233" s="618">
        <f>SUM(E219:E232)</f>
        <v>27552</v>
      </c>
      <c r="F233" s="618">
        <f t="shared" ref="F233:M233" si="118">SUM(F219:F232)</f>
        <v>31673</v>
      </c>
      <c r="G233" s="618">
        <f t="shared" si="118"/>
        <v>28337</v>
      </c>
      <c r="H233" s="618">
        <f t="shared" si="118"/>
        <v>27755</v>
      </c>
      <c r="I233" s="618">
        <f t="shared" si="118"/>
        <v>28499.59403601729</v>
      </c>
      <c r="J233" s="618">
        <f t="shared" si="118"/>
        <v>28454.488235399927</v>
      </c>
      <c r="K233" s="618">
        <f t="shared" si="118"/>
        <v>29082.061810988911</v>
      </c>
      <c r="L233" s="618">
        <f t="shared" si="118"/>
        <v>29864.799861709689</v>
      </c>
      <c r="M233" s="618">
        <f t="shared" si="118"/>
        <v>30787.281833879741</v>
      </c>
    </row>
    <row r="234" spans="2:25" outlineLevel="1" x14ac:dyDescent="0.45">
      <c r="B234" s="314"/>
      <c r="C234" s="6"/>
      <c r="D234" s="314"/>
      <c r="E234" s="574"/>
      <c r="F234" s="574"/>
      <c r="G234" s="574"/>
      <c r="H234" s="574"/>
      <c r="I234" s="574"/>
      <c r="J234" s="574"/>
      <c r="K234" s="574"/>
      <c r="L234" s="574"/>
      <c r="M234" s="574"/>
    </row>
    <row r="235" spans="2:25" outlineLevel="1" x14ac:dyDescent="0.45">
      <c r="B235" s="587" t="s">
        <v>447</v>
      </c>
      <c r="C235" s="587"/>
      <c r="D235" s="588"/>
      <c r="E235" s="588"/>
      <c r="F235" s="589"/>
      <c r="G235" s="589"/>
      <c r="H235" s="589"/>
      <c r="I235" s="589"/>
      <c r="J235" s="589"/>
      <c r="K235" s="589"/>
      <c r="L235" s="589"/>
      <c r="M235" s="589"/>
    </row>
    <row r="236" spans="2:25" outlineLevel="1" x14ac:dyDescent="0.45">
      <c r="B236" s="314"/>
      <c r="C236" s="315" t="s">
        <v>244</v>
      </c>
      <c r="D236" s="235" t="s">
        <v>126</v>
      </c>
      <c r="E236" s="614">
        <f t="shared" ref="E236:M236" si="119">-E41-E64-E87-E122</f>
        <v>-11477</v>
      </c>
      <c r="F236" s="614">
        <f t="shared" si="119"/>
        <v>-10619</v>
      </c>
      <c r="G236" s="614">
        <f t="shared" si="119"/>
        <v>-10051</v>
      </c>
      <c r="H236" s="614">
        <f t="shared" si="119"/>
        <v>-10344</v>
      </c>
      <c r="I236" s="614">
        <f t="shared" si="119"/>
        <v>-10574.886334693138</v>
      </c>
      <c r="J236" s="614">
        <f t="shared" si="119"/>
        <v>-11013.304320769104</v>
      </c>
      <c r="K236" s="614">
        <f t="shared" si="119"/>
        <v>-11470.002459937761</v>
      </c>
      <c r="L236" s="614">
        <f t="shared" si="119"/>
        <v>-11931.707957586055</v>
      </c>
      <c r="M236" s="614">
        <f t="shared" si="119"/>
        <v>-12395.177966362951</v>
      </c>
    </row>
    <row r="237" spans="2:25" outlineLevel="1" x14ac:dyDescent="0.45">
      <c r="B237" s="314"/>
      <c r="C237" s="315" t="s">
        <v>243</v>
      </c>
      <c r="D237" s="235" t="s">
        <v>126</v>
      </c>
      <c r="E237" s="319">
        <v>0</v>
      </c>
      <c r="F237" s="319">
        <v>-2463</v>
      </c>
      <c r="G237" s="319">
        <v>-375</v>
      </c>
      <c r="H237" s="319">
        <v>-14656</v>
      </c>
      <c r="I237" s="321">
        <f t="shared" ref="I237:M238" si="120">+I125</f>
        <v>-2000</v>
      </c>
      <c r="J237" s="321">
        <f t="shared" si="120"/>
        <v>-2500</v>
      </c>
      <c r="K237" s="321">
        <f t="shared" si="120"/>
        <v>-3000</v>
      </c>
      <c r="L237" s="321">
        <f t="shared" si="120"/>
        <v>-3500</v>
      </c>
      <c r="M237" s="321">
        <f t="shared" si="120"/>
        <v>-4000</v>
      </c>
    </row>
    <row r="238" spans="2:25" outlineLevel="1" x14ac:dyDescent="0.45">
      <c r="B238" s="314"/>
      <c r="C238" s="315" t="s">
        <v>245</v>
      </c>
      <c r="D238" s="310" t="s">
        <v>126</v>
      </c>
      <c r="E238" s="319">
        <v>802</v>
      </c>
      <c r="F238" s="319">
        <v>-814</v>
      </c>
      <c r="G238" s="319">
        <v>1347</v>
      </c>
      <c r="H238" s="319">
        <v>964</v>
      </c>
      <c r="I238" s="321">
        <f t="shared" si="120"/>
        <v>574.75</v>
      </c>
      <c r="J238" s="321">
        <f t="shared" si="120"/>
        <v>574.75</v>
      </c>
      <c r="K238" s="321">
        <f t="shared" si="120"/>
        <v>574.75</v>
      </c>
      <c r="L238" s="321">
        <f t="shared" si="120"/>
        <v>574.75</v>
      </c>
      <c r="M238" s="321">
        <f t="shared" si="120"/>
        <v>574.75</v>
      </c>
    </row>
    <row r="239" spans="2:25" outlineLevel="1" x14ac:dyDescent="0.45">
      <c r="B239" s="314"/>
      <c r="C239" s="307" t="s">
        <v>384</v>
      </c>
      <c r="D239" s="235" t="s">
        <v>126</v>
      </c>
      <c r="E239" s="618">
        <f>SUM(E236:E238)</f>
        <v>-10675</v>
      </c>
      <c r="F239" s="618">
        <f t="shared" ref="F239:M239" si="121">SUM(F236:F238)</f>
        <v>-13896</v>
      </c>
      <c r="G239" s="618">
        <f t="shared" si="121"/>
        <v>-9079</v>
      </c>
      <c r="H239" s="618">
        <f t="shared" si="121"/>
        <v>-24036</v>
      </c>
      <c r="I239" s="618">
        <f t="shared" si="121"/>
        <v>-12000.136334693138</v>
      </c>
      <c r="J239" s="618">
        <f t="shared" si="121"/>
        <v>-12938.554320769104</v>
      </c>
      <c r="K239" s="618">
        <f t="shared" si="121"/>
        <v>-13895.252459937761</v>
      </c>
      <c r="L239" s="618">
        <f t="shared" si="121"/>
        <v>-14856.957957586055</v>
      </c>
      <c r="M239" s="618">
        <f t="shared" si="121"/>
        <v>-15820.42796636295</v>
      </c>
    </row>
    <row r="240" spans="2:25" outlineLevel="1" x14ac:dyDescent="0.45">
      <c r="B240" s="314"/>
      <c r="C240" s="6"/>
      <c r="D240" s="314"/>
      <c r="E240" s="575"/>
      <c r="F240" s="575"/>
      <c r="G240" s="575"/>
      <c r="H240" s="575"/>
      <c r="I240" s="575"/>
      <c r="J240" s="575"/>
      <c r="K240" s="575"/>
      <c r="L240" s="575"/>
      <c r="M240" s="575"/>
    </row>
    <row r="241" spans="2:13" outlineLevel="1" x14ac:dyDescent="0.45">
      <c r="B241" s="587" t="s">
        <v>448</v>
      </c>
      <c r="C241" s="587"/>
      <c r="D241" s="588"/>
      <c r="E241" s="588"/>
      <c r="F241" s="589"/>
      <c r="G241" s="589"/>
      <c r="H241" s="589"/>
      <c r="I241" s="589"/>
      <c r="J241" s="589"/>
      <c r="K241" s="589"/>
      <c r="L241" s="589"/>
      <c r="M241" s="589"/>
    </row>
    <row r="242" spans="2:13" outlineLevel="1" x14ac:dyDescent="0.45">
      <c r="B242" s="314"/>
      <c r="C242" s="316" t="s">
        <v>256</v>
      </c>
      <c r="D242" s="235" t="s">
        <v>126</v>
      </c>
      <c r="E242" s="613">
        <v>-4112</v>
      </c>
      <c r="F242" s="613">
        <v>-8298</v>
      </c>
      <c r="G242" s="613">
        <v>-8296</v>
      </c>
      <c r="H242" s="613">
        <v>-7410</v>
      </c>
      <c r="I242" s="614">
        <f>+I134</f>
        <v>-5000</v>
      </c>
      <c r="J242" s="614">
        <f>+J134</f>
        <v>-5250</v>
      </c>
      <c r="K242" s="614">
        <f>+K134</f>
        <v>-5500</v>
      </c>
      <c r="L242" s="614">
        <f>+L134</f>
        <v>-5750</v>
      </c>
      <c r="M242" s="614">
        <f>+M134</f>
        <v>-6000</v>
      </c>
    </row>
    <row r="243" spans="2:13" outlineLevel="1" x14ac:dyDescent="0.45">
      <c r="B243" s="314"/>
      <c r="C243" s="339" t="s">
        <v>276</v>
      </c>
      <c r="D243" s="235" t="s">
        <v>126</v>
      </c>
      <c r="E243" s="319">
        <v>1274</v>
      </c>
      <c r="F243" s="319">
        <v>137</v>
      </c>
      <c r="G243" s="319">
        <v>11624</v>
      </c>
      <c r="H243" s="319">
        <v>15872</v>
      </c>
      <c r="I243" s="321">
        <f>+I132</f>
        <v>4107.1090272899473</v>
      </c>
      <c r="J243" s="321">
        <f>+J132</f>
        <v>6039.423471931148</v>
      </c>
      <c r="K243" s="321">
        <f>+K132</f>
        <v>7303.2816291525032</v>
      </c>
      <c r="L243" s="321">
        <f>+L132</f>
        <v>8453.2972387810842</v>
      </c>
      <c r="M243" s="321">
        <f>+M132</f>
        <v>9078.2344725135536</v>
      </c>
    </row>
    <row r="244" spans="2:13" outlineLevel="1" x14ac:dyDescent="0.45">
      <c r="B244" s="314"/>
      <c r="C244" s="339" t="s">
        <v>275</v>
      </c>
      <c r="D244" s="235" t="s">
        <v>126</v>
      </c>
      <c r="E244" s="319">
        <v>-4432</v>
      </c>
      <c r="F244" s="319">
        <v>-3728</v>
      </c>
      <c r="G244" s="319">
        <v>-13061</v>
      </c>
      <c r="H244" s="319">
        <v>-3837</v>
      </c>
      <c r="I244" s="321">
        <f>+I135</f>
        <v>-7500</v>
      </c>
      <c r="J244" s="321">
        <f>+J135</f>
        <v>-8000</v>
      </c>
      <c r="K244" s="321">
        <f>+K135</f>
        <v>-8500</v>
      </c>
      <c r="L244" s="321">
        <f>+L135</f>
        <v>-9000</v>
      </c>
      <c r="M244" s="321">
        <f>+M135</f>
        <v>-9000</v>
      </c>
    </row>
    <row r="245" spans="2:13" outlineLevel="1" x14ac:dyDescent="0.45">
      <c r="B245" s="314"/>
      <c r="C245" s="339" t="s">
        <v>279</v>
      </c>
      <c r="D245" s="235" t="s">
        <v>126</v>
      </c>
      <c r="E245" s="319">
        <v>0</v>
      </c>
      <c r="F245" s="319">
        <v>0</v>
      </c>
      <c r="G245" s="319">
        <v>0</v>
      </c>
      <c r="H245" s="319">
        <v>0</v>
      </c>
      <c r="I245" s="321">
        <f>+I202-H202</f>
        <v>355.58899999999994</v>
      </c>
      <c r="J245" s="321">
        <f>+J202-I202</f>
        <v>262.81032299999879</v>
      </c>
      <c r="K245" s="321">
        <f>+K202-J202</f>
        <v>255.5444653263994</v>
      </c>
      <c r="L245" s="321">
        <f>+L202-K202</f>
        <v>260.13926822058784</v>
      </c>
      <c r="M245" s="321">
        <f>+M202-L202</f>
        <v>251.24853976104714</v>
      </c>
    </row>
    <row r="246" spans="2:13" outlineLevel="1" x14ac:dyDescent="0.45">
      <c r="B246" s="314"/>
      <c r="C246" s="316" t="s">
        <v>252</v>
      </c>
      <c r="D246" s="235" t="s">
        <v>126</v>
      </c>
      <c r="E246" s="319">
        <v>-6294</v>
      </c>
      <c r="F246" s="319">
        <v>-6216</v>
      </c>
      <c r="G246" s="319">
        <v>-6124</v>
      </c>
      <c r="H246" s="319">
        <v>-6102</v>
      </c>
      <c r="I246" s="321">
        <f>-I166*I137</f>
        <v>-6104.0361209085568</v>
      </c>
      <c r="J246" s="321">
        <f>-J166*J137</f>
        <v>-6254.725580606545</v>
      </c>
      <c r="K246" s="321">
        <f>-K166*K137</f>
        <v>-6368.5105904554439</v>
      </c>
      <c r="L246" s="321">
        <f>-L166*L137</f>
        <v>-6489.2245127078104</v>
      </c>
      <c r="M246" s="321">
        <f>-M166*M137</f>
        <v>-6709.1233274380184</v>
      </c>
    </row>
    <row r="247" spans="2:13" outlineLevel="1" x14ac:dyDescent="0.45">
      <c r="B247" s="314"/>
      <c r="C247" s="316" t="s">
        <v>253</v>
      </c>
      <c r="D247" s="235" t="s">
        <v>126</v>
      </c>
      <c r="E247" s="319">
        <v>-719</v>
      </c>
      <c r="F247" s="319">
        <v>-479</v>
      </c>
      <c r="G247" s="319">
        <v>-690</v>
      </c>
      <c r="H247" s="319">
        <v>-431</v>
      </c>
      <c r="I247" s="321">
        <f>+I167*I138</f>
        <v>-940.93685705410121</v>
      </c>
      <c r="J247" s="321">
        <f>+J167*J138</f>
        <v>-1028.4433382286188</v>
      </c>
      <c r="K247" s="321">
        <f>+K167*K138</f>
        <v>-1112.5996608019032</v>
      </c>
      <c r="L247" s="321">
        <f>+L167*L138</f>
        <v>-1200.3763536307927</v>
      </c>
      <c r="M247" s="321">
        <f>+M167*M138</f>
        <v>-1310.0006242098998</v>
      </c>
    </row>
    <row r="248" spans="2:13" outlineLevel="1" x14ac:dyDescent="0.45">
      <c r="B248" s="314"/>
      <c r="C248" s="316" t="s">
        <v>254</v>
      </c>
      <c r="D248" s="235" t="s">
        <v>126</v>
      </c>
      <c r="E248" s="319">
        <v>-1326</v>
      </c>
      <c r="F248" s="319">
        <v>-90</v>
      </c>
      <c r="G248" s="319">
        <v>-8</v>
      </c>
      <c r="H248" s="319">
        <v>0</v>
      </c>
      <c r="I248" s="321">
        <f t="shared" ref="I248:M249" si="122">+I140</f>
        <v>0</v>
      </c>
      <c r="J248" s="321">
        <f t="shared" si="122"/>
        <v>0</v>
      </c>
      <c r="K248" s="321">
        <f t="shared" si="122"/>
        <v>0</v>
      </c>
      <c r="L248" s="321">
        <f t="shared" si="122"/>
        <v>0</v>
      </c>
      <c r="M248" s="321">
        <f t="shared" si="122"/>
        <v>0</v>
      </c>
    </row>
    <row r="249" spans="2:13" outlineLevel="1" x14ac:dyDescent="0.45">
      <c r="B249" s="314"/>
      <c r="C249" s="316" t="s">
        <v>255</v>
      </c>
      <c r="D249" s="310" t="s">
        <v>126</v>
      </c>
      <c r="E249" s="319">
        <v>-676</v>
      </c>
      <c r="F249" s="319">
        <v>-398</v>
      </c>
      <c r="G249" s="319">
        <v>-3320</v>
      </c>
      <c r="H249" s="319">
        <v>-629</v>
      </c>
      <c r="I249" s="321">
        <f t="shared" si="122"/>
        <v>-567.66666666666663</v>
      </c>
      <c r="J249" s="321">
        <f t="shared" si="122"/>
        <v>-567.66666666666663</v>
      </c>
      <c r="K249" s="321">
        <f t="shared" si="122"/>
        <v>-567.66666666666663</v>
      </c>
      <c r="L249" s="321">
        <f t="shared" si="122"/>
        <v>-567.66666666666663</v>
      </c>
      <c r="M249" s="321">
        <f t="shared" si="122"/>
        <v>-567.66666666666663</v>
      </c>
    </row>
    <row r="250" spans="2:13" outlineLevel="1" x14ac:dyDescent="0.45">
      <c r="B250" s="314"/>
      <c r="C250" s="307" t="s">
        <v>385</v>
      </c>
      <c r="D250" s="235" t="s">
        <v>126</v>
      </c>
      <c r="E250" s="618">
        <f>SUM(E242:E249)</f>
        <v>-16285</v>
      </c>
      <c r="F250" s="618">
        <f t="shared" ref="F250:M250" si="123">SUM(F242:F249)</f>
        <v>-19072</v>
      </c>
      <c r="G250" s="618">
        <f t="shared" si="123"/>
        <v>-19875</v>
      </c>
      <c r="H250" s="618">
        <f t="shared" si="123"/>
        <v>-2537</v>
      </c>
      <c r="I250" s="618">
        <f t="shared" si="123"/>
        <v>-15649.941617339377</v>
      </c>
      <c r="J250" s="618">
        <f t="shared" si="123"/>
        <v>-14798.601790570683</v>
      </c>
      <c r="K250" s="618">
        <f t="shared" si="123"/>
        <v>-14489.95082344511</v>
      </c>
      <c r="L250" s="618">
        <f t="shared" si="123"/>
        <v>-14293.831026003596</v>
      </c>
      <c r="M250" s="618">
        <f t="shared" si="123"/>
        <v>-14257.307606039985</v>
      </c>
    </row>
    <row r="251" spans="2:13" outlineLevel="1" x14ac:dyDescent="0.45">
      <c r="B251" s="314"/>
      <c r="C251" s="6"/>
      <c r="D251" s="314"/>
      <c r="E251" s="575"/>
      <c r="F251" s="575"/>
      <c r="G251" s="575"/>
      <c r="H251" s="575"/>
      <c r="I251" s="575"/>
      <c r="J251" s="575"/>
      <c r="K251" s="575"/>
      <c r="L251" s="575"/>
      <c r="M251" s="575"/>
    </row>
    <row r="252" spans="2:13" outlineLevel="1" x14ac:dyDescent="0.45">
      <c r="B252" s="314"/>
      <c r="C252" s="314" t="s">
        <v>246</v>
      </c>
      <c r="D252" s="235" t="s">
        <v>126</v>
      </c>
      <c r="E252" s="319">
        <v>-1022</v>
      </c>
      <c r="F252" s="319">
        <v>-452</v>
      </c>
      <c r="G252" s="319">
        <v>487</v>
      </c>
      <c r="H252" s="319">
        <v>-438</v>
      </c>
      <c r="I252" s="321">
        <f>+I150*I143</f>
        <v>-385.50859733117625</v>
      </c>
      <c r="J252" s="321">
        <f>+J150*J143</f>
        <v>-400.32168355969065</v>
      </c>
      <c r="K252" s="321">
        <f>+K150*K143</f>
        <v>-413.55031152033882</v>
      </c>
      <c r="L252" s="321">
        <f>+L150*L143</f>
        <v>-426.99264389671288</v>
      </c>
      <c r="M252" s="321">
        <f>+M150*M143</f>
        <v>-439.88416034804283</v>
      </c>
    </row>
    <row r="253" spans="2:13" outlineLevel="1" x14ac:dyDescent="0.45">
      <c r="B253" s="314"/>
      <c r="C253" s="6"/>
      <c r="D253" s="314"/>
      <c r="E253" s="575"/>
      <c r="F253" s="575"/>
      <c r="G253" s="575"/>
      <c r="H253" s="575"/>
      <c r="I253" s="575"/>
      <c r="J253" s="575"/>
      <c r="K253" s="575"/>
      <c r="L253" s="575"/>
      <c r="M253" s="575"/>
    </row>
    <row r="254" spans="2:13" outlineLevel="1" x14ac:dyDescent="0.45">
      <c r="B254" s="314"/>
      <c r="C254" s="317" t="s">
        <v>247</v>
      </c>
      <c r="D254" s="235" t="s">
        <v>126</v>
      </c>
      <c r="E254" s="614">
        <f>+E233+E239+E250+E252</f>
        <v>-430</v>
      </c>
      <c r="F254" s="614">
        <f>+F233+F239+F250+F252</f>
        <v>-1747</v>
      </c>
      <c r="G254" s="614">
        <f>+G233+G239+G250+G252</f>
        <v>-130</v>
      </c>
      <c r="H254" s="614">
        <f>+H233+H239+H250+H252</f>
        <v>744</v>
      </c>
      <c r="I254" s="614">
        <f t="shared" ref="I254:M254" si="124">+I233+I239+I250+I252</f>
        <v>464.00748665359777</v>
      </c>
      <c r="J254" s="614">
        <f t="shared" si="124"/>
        <v>317.01044050044925</v>
      </c>
      <c r="K254" s="614">
        <f t="shared" si="124"/>
        <v>283.30821608570147</v>
      </c>
      <c r="L254" s="614">
        <f t="shared" si="124"/>
        <v>287.01823422332501</v>
      </c>
      <c r="M254" s="614">
        <f t="shared" si="124"/>
        <v>269.66210112876291</v>
      </c>
    </row>
    <row r="255" spans="2:13" outlineLevel="1" x14ac:dyDescent="0.45">
      <c r="B255" s="314"/>
      <c r="C255" s="318" t="s">
        <v>248</v>
      </c>
      <c r="D255" s="310" t="s">
        <v>126</v>
      </c>
      <c r="E255" s="596">
        <v>9135</v>
      </c>
      <c r="F255" s="320">
        <f>+E256</f>
        <v>8705</v>
      </c>
      <c r="G255" s="320">
        <f>+F256</f>
        <v>6958</v>
      </c>
      <c r="H255" s="320">
        <f>+G256</f>
        <v>6828</v>
      </c>
      <c r="I255" s="320">
        <f>+H256</f>
        <v>7572</v>
      </c>
      <c r="J255" s="320">
        <f t="shared" ref="J255:M255" si="125">+I256</f>
        <v>8036.0074866535979</v>
      </c>
      <c r="K255" s="320">
        <f t="shared" si="125"/>
        <v>8353.0179271540474</v>
      </c>
      <c r="L255" s="320">
        <f t="shared" si="125"/>
        <v>8636.3261432397485</v>
      </c>
      <c r="M255" s="320">
        <f t="shared" si="125"/>
        <v>8923.3443774630741</v>
      </c>
    </row>
    <row r="256" spans="2:13" outlineLevel="1" x14ac:dyDescent="0.45">
      <c r="B256" s="314"/>
      <c r="C256" s="6" t="s">
        <v>249</v>
      </c>
      <c r="D256" s="235" t="s">
        <v>126</v>
      </c>
      <c r="E256" s="619">
        <f>SUM(E254:E255)</f>
        <v>8705</v>
      </c>
      <c r="F256" s="619">
        <f t="shared" ref="F256:M256" si="126">SUM(F254:F255)</f>
        <v>6958</v>
      </c>
      <c r="G256" s="619">
        <f t="shared" si="126"/>
        <v>6828</v>
      </c>
      <c r="H256" s="619">
        <f t="shared" si="126"/>
        <v>7572</v>
      </c>
      <c r="I256" s="619">
        <f t="shared" si="126"/>
        <v>8036.0074866535979</v>
      </c>
      <c r="J256" s="619">
        <f t="shared" si="126"/>
        <v>8353.0179271540474</v>
      </c>
      <c r="K256" s="619">
        <f t="shared" si="126"/>
        <v>8636.3261432397485</v>
      </c>
      <c r="L256" s="619">
        <f t="shared" si="126"/>
        <v>8923.3443774630741</v>
      </c>
      <c r="M256" s="619">
        <f t="shared" si="126"/>
        <v>9193.0064785918366</v>
      </c>
    </row>
    <row r="258" spans="5:8" x14ac:dyDescent="0.45">
      <c r="E258" s="319"/>
      <c r="F258" s="319"/>
      <c r="G258" s="319"/>
      <c r="H258" s="319"/>
    </row>
    <row r="259" spans="5:8" x14ac:dyDescent="0.45">
      <c r="E259" s="340"/>
      <c r="F259" s="340"/>
      <c r="G259" s="340"/>
      <c r="H259" s="340"/>
    </row>
  </sheetData>
  <dataValidations disablePrompts="1" count="1">
    <dataValidation type="whole" allowBlank="1" showInputMessage="1" showErrorMessage="1" sqref="M17" xr:uid="{2AAC2391-09CA-46B8-AFA3-519E1738AB33}">
      <formula1>0</formula1>
      <formula2>1</formula2>
    </dataValidation>
  </dataValidations>
  <pageMargins left="0.7" right="0.7" top="0.75" bottom="0.75" header="0.3" footer="0.3"/>
  <pageSetup scale="62" fitToHeight="0" orientation="landscape" r:id="rId1"/>
  <headerFooter>
    <oddHeader>&amp;LWalmart Model&amp;CFinancial Statement Projections</oddHeader>
    <oddFooter>Page &amp;P of &amp;N</oddFooter>
  </headerFooter>
  <rowBreaks count="6" manualBreakCount="6">
    <brk id="43" max="13" man="1"/>
    <brk id="89" max="13" man="1"/>
    <brk id="116" max="13" man="1"/>
    <brk id="144" max="13" man="1"/>
    <brk id="175" max="13" man="1"/>
    <brk id="215" max="13" man="1"/>
  </rowBreaks>
  <colBreaks count="1" manualBreakCount="1">
    <brk id="1" max="256" man="1"/>
  </colBreaks>
  <ignoredErrors>
    <ignoredError sqref="I167:M167" formula="1"/>
  </ignoredError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00FF"/>
    <pageSetUpPr autoPageBreaks="0"/>
  </sheetPr>
  <dimension ref="B2:I32"/>
  <sheetViews>
    <sheetView showGridLines="0" zoomScaleNormal="100" workbookViewId="0">
      <selection activeCell="B2" sqref="B2"/>
    </sheetView>
  </sheetViews>
  <sheetFormatPr defaultColWidth="8.84375" defaultRowHeight="15.9" x14ac:dyDescent="0.45"/>
  <cols>
    <col min="1" max="2" width="2.69140625" style="4" customWidth="1"/>
    <col min="3" max="3" width="45.69140625" style="4" customWidth="1"/>
    <col min="4" max="4" width="12.69140625" style="5" customWidth="1"/>
    <col min="5" max="6" width="10.69140625" style="5" customWidth="1"/>
    <col min="7" max="9" width="10.69140625" style="4" customWidth="1"/>
    <col min="10" max="10" width="2.69140625" style="4" customWidth="1"/>
    <col min="11" max="18" width="10.69140625" style="4" customWidth="1"/>
    <col min="19" max="19" width="2.69140625" style="4" customWidth="1"/>
    <col min="20" max="16384" width="8.84375" style="4"/>
  </cols>
  <sheetData>
    <row r="2" spans="2:9" ht="18.45" x14ac:dyDescent="0.5">
      <c r="B2" s="1" t="str">
        <f>Company_Name&amp;" - Q1 Financial Results"</f>
        <v>Walmart Inc. - Q1 Financial Results</v>
      </c>
    </row>
    <row r="3" spans="2:9" x14ac:dyDescent="0.45">
      <c r="B3" s="25" t="str">
        <f>+WMT_Model!$B$3</f>
        <v>($ in Millions Except Per Share and Per Unit Data)</v>
      </c>
    </row>
    <row r="5" spans="2:9" x14ac:dyDescent="0.45">
      <c r="B5" s="11"/>
      <c r="C5" s="11"/>
      <c r="D5" s="12"/>
      <c r="E5" s="12"/>
      <c r="F5" s="12"/>
      <c r="G5" s="11"/>
      <c r="H5" s="11"/>
      <c r="I5" s="11"/>
    </row>
    <row r="6" spans="2:9" x14ac:dyDescent="0.45">
      <c r="B6" s="233" t="s">
        <v>415</v>
      </c>
      <c r="C6" s="241"/>
      <c r="D6" s="242"/>
      <c r="E6" s="242"/>
      <c r="F6" s="242"/>
      <c r="G6" s="241"/>
      <c r="H6" s="241"/>
      <c r="I6" s="16" t="s">
        <v>328</v>
      </c>
    </row>
    <row r="7" spans="2:9" x14ac:dyDescent="0.45">
      <c r="C7" s="37" t="s">
        <v>4</v>
      </c>
      <c r="I7" s="524">
        <v>123925</v>
      </c>
    </row>
    <row r="8" spans="2:9" x14ac:dyDescent="0.45">
      <c r="C8" s="240" t="s">
        <v>83</v>
      </c>
      <c r="I8" s="21">
        <f>+I7/122690-1</f>
        <v>1.0066020050533808E-2</v>
      </c>
    </row>
    <row r="9" spans="2:9" x14ac:dyDescent="0.45">
      <c r="C9" s="38" t="s">
        <v>7</v>
      </c>
      <c r="I9" s="527">
        <v>4945</v>
      </c>
    </row>
    <row r="10" spans="2:9" x14ac:dyDescent="0.45">
      <c r="C10" s="240" t="s">
        <v>84</v>
      </c>
      <c r="I10" s="21">
        <f>+I9/I7</f>
        <v>3.9903167238248938E-2</v>
      </c>
    </row>
    <row r="11" spans="2:9" x14ac:dyDescent="0.45">
      <c r="C11" s="38"/>
      <c r="I11" s="289"/>
    </row>
    <row r="12" spans="2:9" x14ac:dyDescent="0.45">
      <c r="C12" s="38" t="s">
        <v>139</v>
      </c>
      <c r="I12" s="526">
        <f>-I9*Tax_Rate</f>
        <v>-1199.5724258289704</v>
      </c>
    </row>
    <row r="13" spans="2:9" x14ac:dyDescent="0.45">
      <c r="C13" s="38"/>
      <c r="I13" s="289"/>
    </row>
    <row r="14" spans="2:9" x14ac:dyDescent="0.45">
      <c r="C14" s="37" t="s">
        <v>85</v>
      </c>
      <c r="I14" s="525">
        <f>+I9+I12</f>
        <v>3745.4275741710298</v>
      </c>
    </row>
    <row r="15" spans="2:9" x14ac:dyDescent="0.45">
      <c r="C15" s="38"/>
      <c r="I15" s="289"/>
    </row>
    <row r="16" spans="2:9" x14ac:dyDescent="0.45">
      <c r="C16" s="37" t="s">
        <v>12</v>
      </c>
      <c r="I16" s="289"/>
    </row>
    <row r="17" spans="3:9" x14ac:dyDescent="0.45">
      <c r="C17" s="238" t="s">
        <v>150</v>
      </c>
      <c r="I17" s="523">
        <v>2714</v>
      </c>
    </row>
    <row r="18" spans="3:9" x14ac:dyDescent="0.45">
      <c r="C18" s="238" t="s">
        <v>147</v>
      </c>
      <c r="I18" s="523">
        <v>124</v>
      </c>
    </row>
    <row r="19" spans="3:9" x14ac:dyDescent="0.45">
      <c r="C19" s="238" t="s">
        <v>251</v>
      </c>
      <c r="I19" s="523">
        <v>75</v>
      </c>
    </row>
    <row r="20" spans="3:9" x14ac:dyDescent="0.45">
      <c r="C20" s="528" t="s">
        <v>86</v>
      </c>
      <c r="D20" s="529"/>
      <c r="E20" s="529"/>
      <c r="F20" s="529"/>
      <c r="G20" s="530"/>
      <c r="H20" s="530"/>
      <c r="I20" s="342">
        <f>SUM(I17:I19)</f>
        <v>2913</v>
      </c>
    </row>
    <row r="21" spans="3:9" x14ac:dyDescent="0.45">
      <c r="C21" s="38"/>
      <c r="I21" s="289"/>
    </row>
    <row r="22" spans="3:9" x14ac:dyDescent="0.45">
      <c r="C22" s="37" t="s">
        <v>306</v>
      </c>
      <c r="I22" s="289"/>
    </row>
    <row r="23" spans="3:9" x14ac:dyDescent="0.45">
      <c r="C23" s="238" t="s">
        <v>9</v>
      </c>
      <c r="I23" s="523">
        <v>970</v>
      </c>
    </row>
    <row r="24" spans="3:9" x14ac:dyDescent="0.45">
      <c r="C24" s="238" t="s">
        <v>10</v>
      </c>
      <c r="I24" s="523">
        <v>-421</v>
      </c>
    </row>
    <row r="25" spans="3:9" x14ac:dyDescent="0.45">
      <c r="C25" s="238" t="s">
        <v>148</v>
      </c>
      <c r="I25" s="523">
        <v>0</v>
      </c>
    </row>
    <row r="26" spans="3:9" x14ac:dyDescent="0.45">
      <c r="C26" s="238" t="s">
        <v>11</v>
      </c>
      <c r="I26" s="523">
        <v>-1854</v>
      </c>
    </row>
    <row r="27" spans="3:9" x14ac:dyDescent="0.45">
      <c r="C27" s="238" t="s">
        <v>19</v>
      </c>
      <c r="I27" s="531">
        <f>-1514+346</f>
        <v>-1168</v>
      </c>
    </row>
    <row r="28" spans="3:9" x14ac:dyDescent="0.45">
      <c r="C28" s="528" t="s">
        <v>412</v>
      </c>
      <c r="D28" s="529"/>
      <c r="E28" s="529"/>
      <c r="F28" s="529"/>
      <c r="G28" s="530"/>
      <c r="H28" s="530"/>
      <c r="I28" s="342">
        <f>SUM(I23:I27)</f>
        <v>-2473</v>
      </c>
    </row>
    <row r="29" spans="3:9" x14ac:dyDescent="0.45">
      <c r="C29" s="38"/>
      <c r="I29" s="290"/>
    </row>
    <row r="30" spans="3:9" x14ac:dyDescent="0.45">
      <c r="C30" s="37" t="s">
        <v>414</v>
      </c>
      <c r="I30" s="532">
        <f>-2205-56</f>
        <v>-2261</v>
      </c>
    </row>
    <row r="31" spans="3:9" x14ac:dyDescent="0.45">
      <c r="I31" s="289"/>
    </row>
    <row r="32" spans="3:9" x14ac:dyDescent="0.45">
      <c r="C32" s="6" t="s">
        <v>413</v>
      </c>
      <c r="I32" s="343">
        <f>+I14+I20+I28+I30</f>
        <v>1924.4275741710298</v>
      </c>
    </row>
  </sheetData>
  <pageMargins left="0.7" right="0.7" top="0.75" bottom="0.75" header="0.3" footer="0.3"/>
  <pageSetup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DB534-97D7-4BAD-8614-1BF30EE07CAB}">
  <sheetPr codeName="Sheet4">
    <tabColor rgb="FFFFFF99"/>
    <pageSetUpPr autoPageBreaks="0"/>
  </sheetPr>
  <dimension ref="A1:AE178"/>
  <sheetViews>
    <sheetView showGridLines="0" tabSelected="1" topLeftCell="A95" zoomScaleNormal="100" workbookViewId="0">
      <selection activeCell="B97" sqref="B97"/>
    </sheetView>
  </sheetViews>
  <sheetFormatPr defaultColWidth="8.84375" defaultRowHeight="15.9" outlineLevelRow="2" outlineLevelCol="1" x14ac:dyDescent="0.45"/>
  <cols>
    <col min="1" max="2" width="2.69140625" style="4" customWidth="1"/>
    <col min="3" max="3" width="47.69140625" style="4" bestFit="1" customWidth="1"/>
    <col min="4" max="4" width="12.69140625" style="5" customWidth="1"/>
    <col min="5" max="6" width="12.69140625" style="5" customWidth="1" outlineLevel="1"/>
    <col min="7" max="8" width="12.69140625" style="4" customWidth="1" outlineLevel="1"/>
    <col min="9" max="19" width="12.69140625" style="4" customWidth="1"/>
    <col min="20" max="21" width="2.69140625" style="4" customWidth="1"/>
    <col min="22" max="30" width="12.69140625" style="4" customWidth="1"/>
    <col min="31" max="16384" width="8.84375" style="4"/>
  </cols>
  <sheetData>
    <row r="1" spans="2:18" ht="15.75" customHeight="1" x14ac:dyDescent="0.45"/>
    <row r="2" spans="2:18" ht="15.75" customHeight="1" x14ac:dyDescent="0.5">
      <c r="B2" s="1" t="str">
        <f>Company_Name&amp;" - Discounted Cash Flow Analysis - "&amp;Scenario&amp;" Case"</f>
        <v>Walmart Inc. - Discounted Cash Flow Analysis - Base Case</v>
      </c>
    </row>
    <row r="3" spans="2:18" ht="15.75" customHeight="1" x14ac:dyDescent="0.45">
      <c r="B3" s="4" t="s">
        <v>2</v>
      </c>
    </row>
    <row r="4" spans="2:18" ht="15.75" customHeight="1" x14ac:dyDescent="0.45"/>
    <row r="5" spans="2:18" ht="15.75" customHeight="1" x14ac:dyDescent="0.45">
      <c r="B5" s="364"/>
      <c r="C5" s="364"/>
      <c r="D5" s="365"/>
      <c r="E5" s="365"/>
      <c r="F5" s="365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</row>
    <row r="6" spans="2:18" ht="15.75" customHeight="1" x14ac:dyDescent="0.45">
      <c r="B6" s="366" t="s">
        <v>309</v>
      </c>
      <c r="C6" s="367"/>
      <c r="D6" s="367"/>
      <c r="E6" s="367"/>
      <c r="F6" s="367"/>
      <c r="G6" s="367"/>
      <c r="H6" s="367"/>
      <c r="I6" s="367"/>
      <c r="J6" s="367"/>
      <c r="K6" s="367"/>
      <c r="L6" s="367"/>
      <c r="M6" s="367"/>
      <c r="N6" s="367"/>
      <c r="O6" s="367"/>
      <c r="P6" s="367"/>
      <c r="Q6" s="367"/>
      <c r="R6" s="367"/>
    </row>
    <row r="7" spans="2:18" ht="15.75" customHeight="1" outlineLevel="1" x14ac:dyDescent="0.45">
      <c r="D7" s="10"/>
      <c r="E7" s="10"/>
    </row>
    <row r="8" spans="2:18" ht="15.75" customHeight="1" outlineLevel="1" x14ac:dyDescent="0.45">
      <c r="C8" s="25" t="s">
        <v>307</v>
      </c>
      <c r="D8" s="443">
        <f>WACC</f>
        <v>5.0402489681628616E-2</v>
      </c>
      <c r="E8" s="10"/>
      <c r="F8" s="313" t="s">
        <v>312</v>
      </c>
      <c r="G8" s="372"/>
      <c r="H8" s="372"/>
      <c r="I8" s="372"/>
      <c r="J8" s="25"/>
      <c r="K8" s="313" t="s">
        <v>313</v>
      </c>
      <c r="L8" s="372"/>
      <c r="M8" s="372"/>
      <c r="N8" s="372"/>
    </row>
    <row r="9" spans="2:18" ht="15.75" customHeight="1" outlineLevel="1" x14ac:dyDescent="0.45">
      <c r="E9" s="10"/>
      <c r="F9" s="25"/>
      <c r="G9" s="25"/>
      <c r="H9" s="25"/>
      <c r="I9" s="25"/>
      <c r="J9" s="25"/>
      <c r="K9" s="25"/>
      <c r="L9" s="25"/>
      <c r="M9" s="25"/>
      <c r="N9" s="25"/>
    </row>
    <row r="10" spans="2:18" ht="15.75" customHeight="1" outlineLevel="1" x14ac:dyDescent="0.45">
      <c r="C10" s="231" t="s">
        <v>171</v>
      </c>
      <c r="D10" s="633" t="s">
        <v>172</v>
      </c>
      <c r="E10" s="25"/>
      <c r="F10" s="25" t="s">
        <v>314</v>
      </c>
      <c r="G10" s="25"/>
      <c r="H10" s="25"/>
      <c r="I10" s="373">
        <v>10</v>
      </c>
      <c r="J10" s="25"/>
      <c r="K10" s="25" t="s">
        <v>315</v>
      </c>
      <c r="L10" s="25"/>
      <c r="M10" s="25"/>
      <c r="N10" s="537">
        <v>0.02</v>
      </c>
    </row>
    <row r="11" spans="2:18" ht="15.75" customHeight="1" outlineLevel="1" x14ac:dyDescent="0.45">
      <c r="C11" s="533" t="s">
        <v>417</v>
      </c>
      <c r="D11" s="534">
        <f>_xlfn.DAYS(Next_Year,Valuation_Date)/_xlfn.DAYS(Next_Year,Hist_Year)</f>
        <v>0.65479452054794518</v>
      </c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2:18" ht="15.75" customHeight="1" outlineLevel="1" x14ac:dyDescent="0.45">
      <c r="E12" s="338"/>
      <c r="F12" s="25" t="s">
        <v>316</v>
      </c>
      <c r="G12" s="25"/>
      <c r="H12" s="374"/>
      <c r="I12" s="401">
        <f>_xlfn.XLOOKUP(Scenario,$F13:$F15,I13:I15,"N/A",0)</f>
        <v>9.5391927080956336</v>
      </c>
      <c r="J12" s="25"/>
      <c r="K12" s="25" t="s">
        <v>317</v>
      </c>
      <c r="L12" s="25"/>
      <c r="M12" s="374"/>
      <c r="N12" s="548">
        <f>_xlfn.XLOOKUP(Scenario,$K13:$K15,N13:N15,"N/A",0)</f>
        <v>2E-3</v>
      </c>
    </row>
    <row r="13" spans="2:18" ht="15.75" customHeight="1" outlineLevel="1" x14ac:dyDescent="0.45">
      <c r="C13" s="369" t="s">
        <v>310</v>
      </c>
      <c r="D13" s="471">
        <f>+I37*Share_Price</f>
        <v>302577.75674874714</v>
      </c>
      <c r="E13" s="338"/>
      <c r="F13" s="26" t="str">
        <f>WMT_Model!$C$29</f>
        <v>Upside</v>
      </c>
      <c r="G13" s="25"/>
      <c r="H13" s="374"/>
      <c r="I13" s="373">
        <v>10.935330113711693</v>
      </c>
      <c r="J13" s="25"/>
      <c r="K13" s="26" t="str">
        <f>WMT_Model!$C$29</f>
        <v>Upside</v>
      </c>
      <c r="L13" s="25"/>
      <c r="M13" s="374"/>
      <c r="N13" s="537">
        <v>5.0000000000000001E-3</v>
      </c>
    </row>
    <row r="14" spans="2:18" ht="15.75" customHeight="1" outlineLevel="1" x14ac:dyDescent="0.45">
      <c r="C14" s="26" t="s">
        <v>131</v>
      </c>
      <c r="D14" s="436">
        <f>+Public_Comps_Data!AF17</f>
        <v>-9255</v>
      </c>
      <c r="E14" s="338"/>
      <c r="F14" s="26" t="str">
        <f>WMT_Model!$C$30</f>
        <v>Base</v>
      </c>
      <c r="G14" s="25"/>
      <c r="H14" s="374"/>
      <c r="I14" s="373">
        <v>9.5391927080956336</v>
      </c>
      <c r="J14" s="25"/>
      <c r="K14" s="26" t="str">
        <f>WMT_Model!$C$30</f>
        <v>Base</v>
      </c>
      <c r="L14" s="25"/>
      <c r="M14" s="374"/>
      <c r="N14" s="537">
        <v>2E-3</v>
      </c>
    </row>
    <row r="15" spans="2:18" ht="15.75" customHeight="1" outlineLevel="1" x14ac:dyDescent="0.45">
      <c r="C15" s="341" t="s">
        <v>132</v>
      </c>
      <c r="D15" s="436">
        <f>+Public_Comps_Data!AF18</f>
        <v>-4366</v>
      </c>
      <c r="E15" s="338"/>
      <c r="F15" s="26" t="str">
        <f>WMT_Model!$C$31</f>
        <v>Downside</v>
      </c>
      <c r="G15" s="25"/>
      <c r="H15" s="374"/>
      <c r="I15" s="373">
        <v>6.9439381001690306</v>
      </c>
      <c r="J15" s="25"/>
      <c r="K15" s="26" t="str">
        <f>WMT_Model!$C$31</f>
        <v>Downside</v>
      </c>
      <c r="L15" s="25"/>
      <c r="M15" s="374"/>
      <c r="N15" s="537">
        <v>-7.4999999999999997E-3</v>
      </c>
    </row>
    <row r="16" spans="2:18" ht="15.75" customHeight="1" outlineLevel="1" x14ac:dyDescent="0.45">
      <c r="C16" s="341" t="s">
        <v>133</v>
      </c>
      <c r="D16" s="436">
        <f>+Public_Comps_Data!AF19</f>
        <v>0</v>
      </c>
      <c r="E16" s="338"/>
      <c r="F16" s="25"/>
      <c r="G16" s="25"/>
      <c r="H16" s="374"/>
      <c r="I16" s="399"/>
      <c r="J16" s="25"/>
      <c r="K16" s="25"/>
      <c r="L16" s="25"/>
      <c r="M16" s="374"/>
      <c r="N16" s="400"/>
    </row>
    <row r="17" spans="3:14" ht="15.75" customHeight="1" outlineLevel="1" x14ac:dyDescent="0.45">
      <c r="C17" s="341" t="s">
        <v>134</v>
      </c>
      <c r="D17" s="436">
        <f>+Public_Comps_Data!AF20</f>
        <v>-1843.4020077220077</v>
      </c>
      <c r="E17" s="338"/>
      <c r="F17" s="25" t="s">
        <v>318</v>
      </c>
      <c r="G17" s="25"/>
      <c r="H17" s="25"/>
      <c r="I17" s="386">
        <f>+R94*I12</f>
        <v>381968.52394424583</v>
      </c>
      <c r="J17" s="25"/>
      <c r="K17" s="25" t="s">
        <v>318</v>
      </c>
      <c r="L17" s="25"/>
      <c r="M17" s="25"/>
      <c r="N17" s="388">
        <f>+R83*(1+Terminal_Growth_Rate)/(Discount_Rate-N12)*(1+Discount_Rate)^0.5</f>
        <v>381968.52394424583</v>
      </c>
    </row>
    <row r="18" spans="3:14" ht="15.75" customHeight="1" outlineLevel="1" x14ac:dyDescent="0.45">
      <c r="C18" s="341" t="s">
        <v>345</v>
      </c>
      <c r="D18" s="436">
        <f>+Public_Comps_Data!AF21</f>
        <v>57962</v>
      </c>
      <c r="E18" s="338"/>
      <c r="F18" s="25" t="s">
        <v>319</v>
      </c>
      <c r="G18" s="25"/>
      <c r="H18" s="374"/>
      <c r="I18" s="536">
        <f>-R83*(1+Terminal_Growth_Rate)*(1+Discount_Rate)^0.5/I17+Discount_Rate</f>
        <v>1.9999999999999948E-3</v>
      </c>
      <c r="J18" s="25"/>
      <c r="K18" s="25" t="s">
        <v>320</v>
      </c>
      <c r="L18" s="25"/>
      <c r="M18" s="25"/>
      <c r="N18" s="389">
        <f>+N17/R94</f>
        <v>9.5391927080956336</v>
      </c>
    </row>
    <row r="19" spans="3:14" ht="15.75" customHeight="1" outlineLevel="1" x14ac:dyDescent="0.45">
      <c r="C19" s="341" t="s">
        <v>135</v>
      </c>
      <c r="D19" s="436">
        <f>+Public_Comps_Data!AF22</f>
        <v>0</v>
      </c>
      <c r="E19" s="338"/>
      <c r="F19" s="25"/>
      <c r="G19" s="25"/>
      <c r="H19" s="25"/>
      <c r="I19" s="25"/>
      <c r="J19" s="25"/>
      <c r="K19" s="25"/>
      <c r="L19" s="25"/>
      <c r="M19" s="25"/>
      <c r="N19" s="25"/>
    </row>
    <row r="20" spans="3:14" ht="15.75" customHeight="1" outlineLevel="1" x14ac:dyDescent="0.45">
      <c r="C20" s="341" t="s">
        <v>136</v>
      </c>
      <c r="D20" s="436">
        <f>+Public_Comps_Data!AF23</f>
        <v>6705</v>
      </c>
      <c r="E20" s="338"/>
      <c r="F20" s="26" t="s">
        <v>321</v>
      </c>
      <c r="G20" s="25"/>
      <c r="H20" s="25"/>
      <c r="I20" s="340">
        <f>+I17*$R86</f>
        <v>237597.72129507732</v>
      </c>
      <c r="J20" s="25"/>
      <c r="K20" s="26" t="str">
        <f>+F20</f>
        <v>(+) PV of Terminal Value:</v>
      </c>
      <c r="L20" s="25"/>
      <c r="M20" s="25"/>
      <c r="N20" s="340">
        <f>+N17*$R86</f>
        <v>237597.72129507732</v>
      </c>
    </row>
    <row r="21" spans="3:14" ht="15.75" customHeight="1" outlineLevel="1" x14ac:dyDescent="0.45">
      <c r="C21" s="341" t="s">
        <v>137</v>
      </c>
      <c r="D21" s="436">
        <f>+Public_Comps_Data!AF24</f>
        <v>175</v>
      </c>
      <c r="E21" s="338"/>
      <c r="F21" s="375" t="s">
        <v>322</v>
      </c>
      <c r="G21" s="27"/>
      <c r="H21" s="27"/>
      <c r="I21" s="387">
        <f>SUM($I$92:$R$92)</f>
        <v>133812.32390805378</v>
      </c>
      <c r="J21" s="25"/>
      <c r="K21" s="375" t="str">
        <f t="shared" ref="K21:K22" si="0">+F21</f>
        <v>(+) Sum of PV of Free Cash Flows:</v>
      </c>
      <c r="L21" s="27"/>
      <c r="M21" s="27"/>
      <c r="N21" s="387">
        <f>SUM($I$92:$R$92)</f>
        <v>133812.32390805378</v>
      </c>
    </row>
    <row r="22" spans="3:14" ht="15.75" customHeight="1" outlineLevel="1" x14ac:dyDescent="0.45">
      <c r="C22" s="341" t="s">
        <v>138</v>
      </c>
      <c r="D22" s="470">
        <f>+Public_Comps_Data!AF25</f>
        <v>0</v>
      </c>
      <c r="E22" s="338"/>
      <c r="F22" s="376" t="s">
        <v>71</v>
      </c>
      <c r="G22" s="377"/>
      <c r="H22" s="377"/>
      <c r="I22" s="398">
        <f>SUM(I20:I21)</f>
        <v>371410.0452031311</v>
      </c>
      <c r="J22" s="25"/>
      <c r="K22" s="376" t="str">
        <f t="shared" si="0"/>
        <v>Implied Enterprise Value:</v>
      </c>
      <c r="L22" s="377"/>
      <c r="M22" s="377"/>
      <c r="N22" s="398">
        <f>SUM(N20:N21)</f>
        <v>371410.0452031311</v>
      </c>
    </row>
    <row r="23" spans="3:14" ht="15.75" customHeight="1" outlineLevel="1" x14ac:dyDescent="0.45">
      <c r="C23" s="370" t="s">
        <v>311</v>
      </c>
      <c r="D23" s="472">
        <f>SUM(D13:D22)</f>
        <v>351955.35474102513</v>
      </c>
      <c r="E23" s="338"/>
      <c r="F23" s="25"/>
      <c r="G23" s="25"/>
      <c r="H23" s="25"/>
      <c r="I23" s="25"/>
      <c r="J23" s="25"/>
      <c r="K23" s="25"/>
      <c r="L23" s="25"/>
      <c r="M23" s="25"/>
      <c r="N23" s="25"/>
    </row>
    <row r="24" spans="3:14" ht="15.75" customHeight="1" outlineLevel="1" x14ac:dyDescent="0.45">
      <c r="E24" s="338"/>
      <c r="F24" s="378" t="s">
        <v>323</v>
      </c>
      <c r="G24" s="25"/>
      <c r="H24" s="25"/>
      <c r="I24" s="362">
        <f>+I20/I22</f>
        <v>0.63971808076739201</v>
      </c>
      <c r="J24" s="25"/>
      <c r="K24" s="378" t="str">
        <f>+F24</f>
        <v>% of Implied EV from Terminal Value:</v>
      </c>
      <c r="L24" s="25"/>
      <c r="M24" s="25"/>
      <c r="N24" s="362">
        <f>+N20/N22</f>
        <v>0.63971808076739201</v>
      </c>
    </row>
    <row r="25" spans="3:14" ht="15.75" customHeight="1" outlineLevel="1" x14ac:dyDescent="0.45">
      <c r="E25" s="25"/>
      <c r="F25" s="25"/>
      <c r="G25" s="25"/>
      <c r="H25" s="25"/>
      <c r="I25" s="25"/>
      <c r="J25" s="25"/>
      <c r="K25" s="25"/>
      <c r="L25" s="25"/>
      <c r="M25" s="25"/>
      <c r="N25" s="25"/>
    </row>
    <row r="26" spans="3:14" ht="15.75" customHeight="1" outlineLevel="1" x14ac:dyDescent="0.45">
      <c r="D26" s="4"/>
      <c r="E26" s="10"/>
      <c r="F26" s="26" t="s">
        <v>140</v>
      </c>
      <c r="G26" s="25"/>
      <c r="H26" s="25"/>
      <c r="I26" s="325">
        <f t="shared" ref="I26:I34" si="1">-D14</f>
        <v>9255</v>
      </c>
      <c r="J26" s="25"/>
      <c r="K26" s="26" t="s">
        <v>140</v>
      </c>
      <c r="L26" s="25"/>
      <c r="M26" s="25"/>
      <c r="N26" s="321">
        <f>+I26</f>
        <v>9255</v>
      </c>
    </row>
    <row r="27" spans="3:14" ht="15.75" customHeight="1" outlineLevel="1" x14ac:dyDescent="0.45">
      <c r="D27" s="4"/>
      <c r="E27" s="10"/>
      <c r="F27" s="341" t="s">
        <v>141</v>
      </c>
      <c r="G27" s="338"/>
      <c r="H27" s="338"/>
      <c r="I27" s="321">
        <f t="shared" si="1"/>
        <v>4366</v>
      </c>
      <c r="J27" s="25"/>
      <c r="K27" s="341" t="s">
        <v>141</v>
      </c>
      <c r="L27" s="338"/>
      <c r="M27" s="338"/>
      <c r="N27" s="321">
        <f t="shared" ref="N27:N34" si="2">+I27</f>
        <v>4366</v>
      </c>
    </row>
    <row r="28" spans="3:14" ht="15.75" customHeight="1" outlineLevel="1" x14ac:dyDescent="0.45">
      <c r="D28" s="4"/>
      <c r="E28" s="10"/>
      <c r="F28" s="341" t="s">
        <v>142</v>
      </c>
      <c r="G28" s="338"/>
      <c r="H28" s="338"/>
      <c r="I28" s="321">
        <f t="shared" si="1"/>
        <v>0</v>
      </c>
      <c r="J28" s="25"/>
      <c r="K28" s="341" t="s">
        <v>142</v>
      </c>
      <c r="L28" s="338"/>
      <c r="M28" s="338"/>
      <c r="N28" s="321">
        <f t="shared" si="2"/>
        <v>0</v>
      </c>
    </row>
    <row r="29" spans="3:14" ht="15.75" customHeight="1" outlineLevel="1" x14ac:dyDescent="0.45">
      <c r="D29" s="4"/>
      <c r="E29" s="10"/>
      <c r="F29" s="341" t="s">
        <v>143</v>
      </c>
      <c r="G29" s="338"/>
      <c r="H29" s="338"/>
      <c r="I29" s="321">
        <f t="shared" si="1"/>
        <v>1843.4020077220077</v>
      </c>
      <c r="J29" s="25"/>
      <c r="K29" s="341" t="s">
        <v>143</v>
      </c>
      <c r="L29" s="338"/>
      <c r="M29" s="338"/>
      <c r="N29" s="321">
        <f t="shared" si="2"/>
        <v>1843.4020077220077</v>
      </c>
    </row>
    <row r="30" spans="3:14" ht="15.75" customHeight="1" outlineLevel="1" x14ac:dyDescent="0.45">
      <c r="D30" s="4"/>
      <c r="E30" s="10"/>
      <c r="F30" s="341" t="s">
        <v>346</v>
      </c>
      <c r="G30" s="338"/>
      <c r="H30" s="338"/>
      <c r="I30" s="321">
        <f t="shared" si="1"/>
        <v>-57962</v>
      </c>
      <c r="J30" s="25"/>
      <c r="K30" s="341" t="s">
        <v>324</v>
      </c>
      <c r="L30" s="338"/>
      <c r="M30" s="338"/>
      <c r="N30" s="321">
        <f t="shared" si="2"/>
        <v>-57962</v>
      </c>
    </row>
    <row r="31" spans="3:14" ht="15.75" customHeight="1" outlineLevel="1" x14ac:dyDescent="0.45">
      <c r="D31" s="4"/>
      <c r="E31" s="10"/>
      <c r="F31" s="341" t="s">
        <v>144</v>
      </c>
      <c r="G31" s="338"/>
      <c r="H31" s="338"/>
      <c r="I31" s="321">
        <f t="shared" si="1"/>
        <v>0</v>
      </c>
      <c r="J31" s="25"/>
      <c r="K31" s="341" t="s">
        <v>144</v>
      </c>
      <c r="L31" s="338"/>
      <c r="M31" s="338"/>
      <c r="N31" s="321">
        <f t="shared" si="2"/>
        <v>0</v>
      </c>
    </row>
    <row r="32" spans="3:14" ht="15.75" customHeight="1" outlineLevel="1" x14ac:dyDescent="0.45">
      <c r="D32" s="4"/>
      <c r="E32" s="10"/>
      <c r="F32" s="341" t="s">
        <v>145</v>
      </c>
      <c r="G32" s="338"/>
      <c r="H32" s="338"/>
      <c r="I32" s="321">
        <f t="shared" si="1"/>
        <v>-6705</v>
      </c>
      <c r="J32" s="25"/>
      <c r="K32" s="341" t="s">
        <v>145</v>
      </c>
      <c r="L32" s="338"/>
      <c r="M32" s="338"/>
      <c r="N32" s="321">
        <f t="shared" si="2"/>
        <v>-6705</v>
      </c>
    </row>
    <row r="33" spans="1:18" ht="15.75" customHeight="1" outlineLevel="1" x14ac:dyDescent="0.45">
      <c r="D33" s="4"/>
      <c r="E33" s="10"/>
      <c r="F33" s="341" t="s">
        <v>146</v>
      </c>
      <c r="G33" s="338"/>
      <c r="H33" s="338"/>
      <c r="I33" s="321">
        <f t="shared" si="1"/>
        <v>-175</v>
      </c>
      <c r="J33" s="25"/>
      <c r="K33" s="341" t="s">
        <v>146</v>
      </c>
      <c r="L33" s="338"/>
      <c r="M33" s="338"/>
      <c r="N33" s="321">
        <f t="shared" si="2"/>
        <v>-175</v>
      </c>
    </row>
    <row r="34" spans="1:18" ht="15.75" customHeight="1" outlineLevel="1" x14ac:dyDescent="0.45">
      <c r="C34" s="25"/>
      <c r="D34" s="368"/>
      <c r="E34" s="10"/>
      <c r="F34" s="341" t="s">
        <v>162</v>
      </c>
      <c r="G34" s="338"/>
      <c r="H34" s="338"/>
      <c r="I34" s="320">
        <f t="shared" si="1"/>
        <v>0</v>
      </c>
      <c r="J34" s="25"/>
      <c r="K34" s="341" t="s">
        <v>162</v>
      </c>
      <c r="L34" s="338"/>
      <c r="M34" s="338"/>
      <c r="N34" s="320">
        <f t="shared" si="2"/>
        <v>0</v>
      </c>
    </row>
    <row r="35" spans="1:18" ht="15.75" customHeight="1" outlineLevel="1" x14ac:dyDescent="0.45">
      <c r="D35" s="10"/>
      <c r="E35" s="10"/>
      <c r="F35" s="370" t="s">
        <v>72</v>
      </c>
      <c r="G35" s="371"/>
      <c r="H35" s="371"/>
      <c r="I35" s="390">
        <f>+I22+SUM(I26:I34)</f>
        <v>322032.4472108531</v>
      </c>
      <c r="J35" s="25"/>
      <c r="K35" s="370" t="s">
        <v>72</v>
      </c>
      <c r="L35" s="371"/>
      <c r="M35" s="371"/>
      <c r="N35" s="390">
        <f>+N22+SUM(N26:N34)</f>
        <v>322032.4472108531</v>
      </c>
    </row>
    <row r="36" spans="1:18" ht="15.75" customHeight="1" outlineLevel="1" x14ac:dyDescent="0.45">
      <c r="D36" s="10"/>
      <c r="E36" s="10"/>
      <c r="F36" s="25"/>
      <c r="G36" s="25"/>
      <c r="H36" s="25"/>
      <c r="I36" s="25"/>
      <c r="J36" s="25"/>
      <c r="K36" s="25"/>
      <c r="L36" s="25"/>
      <c r="M36" s="25"/>
      <c r="N36" s="25"/>
    </row>
    <row r="37" spans="1:18" ht="15.75" customHeight="1" outlineLevel="1" x14ac:dyDescent="0.45">
      <c r="D37" s="10"/>
      <c r="E37" s="10"/>
      <c r="F37" s="25" t="s">
        <v>73</v>
      </c>
      <c r="G37" s="25"/>
      <c r="H37" s="25"/>
      <c r="I37" s="465">
        <f>+Public_Comps_Data!AF55</f>
        <v>2878.6771370000001</v>
      </c>
      <c r="J37" s="25"/>
      <c r="K37" s="25" t="s">
        <v>73</v>
      </c>
      <c r="L37" s="25"/>
      <c r="M37" s="25"/>
      <c r="N37" s="379">
        <f>+I37</f>
        <v>2878.6771370000001</v>
      </c>
    </row>
    <row r="38" spans="1:18" ht="15.75" customHeight="1" outlineLevel="1" x14ac:dyDescent="0.45">
      <c r="D38" s="10"/>
      <c r="E38" s="10"/>
      <c r="F38" s="25"/>
      <c r="G38" s="25"/>
      <c r="H38" s="92"/>
      <c r="I38" s="92"/>
      <c r="J38" s="25"/>
      <c r="K38" s="25"/>
      <c r="L38" s="25"/>
      <c r="M38" s="25"/>
      <c r="N38" s="25"/>
    </row>
    <row r="39" spans="1:18" ht="15.75" customHeight="1" outlineLevel="1" x14ac:dyDescent="0.45">
      <c r="D39" s="10"/>
      <c r="E39" s="10"/>
      <c r="F39" s="380" t="s">
        <v>325</v>
      </c>
      <c r="G39" s="381"/>
      <c r="H39" s="381"/>
      <c r="I39" s="382">
        <f>+I35/I37</f>
        <v>111.86820608387424</v>
      </c>
      <c r="J39" s="25"/>
      <c r="K39" s="380" t="s">
        <v>325</v>
      </c>
      <c r="L39" s="381"/>
      <c r="M39" s="381"/>
      <c r="N39" s="382">
        <f>+N35/N37</f>
        <v>111.86820608387424</v>
      </c>
    </row>
    <row r="40" spans="1:18" ht="15.75" customHeight="1" outlineLevel="1" x14ac:dyDescent="0.45">
      <c r="D40" s="10"/>
      <c r="E40" s="10"/>
      <c r="F40" s="383" t="s">
        <v>74</v>
      </c>
      <c r="G40" s="384"/>
      <c r="H40" s="384"/>
      <c r="I40" s="385">
        <f>+I39/Share_Price-1</f>
        <v>6.4296499092167725E-2</v>
      </c>
      <c r="J40" s="25"/>
      <c r="K40" s="383" t="s">
        <v>74</v>
      </c>
      <c r="L40" s="384"/>
      <c r="M40" s="384"/>
      <c r="N40" s="385">
        <f>+N39/Share_Price-1</f>
        <v>6.4296499092167725E-2</v>
      </c>
    </row>
    <row r="41" spans="1:18" ht="15.75" customHeight="1" x14ac:dyDescent="0.45">
      <c r="D41" s="10"/>
      <c r="E41" s="10"/>
    </row>
    <row r="42" spans="1:18" ht="15.75" customHeight="1" x14ac:dyDescent="0.45">
      <c r="B42" s="11"/>
      <c r="C42" s="11"/>
      <c r="D42" s="12"/>
      <c r="E42" s="13" t="str">
        <f>WMT_Model!$E$19</f>
        <v>Historical:</v>
      </c>
      <c r="F42" s="13"/>
      <c r="G42" s="13"/>
      <c r="H42" s="14"/>
      <c r="I42" s="13" t="str">
        <f>WMT_Model!$I$19</f>
        <v>Projected:</v>
      </c>
      <c r="J42" s="13"/>
      <c r="K42" s="13"/>
      <c r="L42" s="13"/>
      <c r="M42" s="13"/>
      <c r="N42" s="13"/>
      <c r="O42" s="13"/>
      <c r="P42" s="13"/>
      <c r="Q42" s="13"/>
      <c r="R42" s="13"/>
    </row>
    <row r="43" spans="1:18" ht="15.75" customHeight="1" x14ac:dyDescent="0.45">
      <c r="A43" s="15"/>
      <c r="B43" s="233" t="s">
        <v>297</v>
      </c>
      <c r="C43" s="233"/>
      <c r="D43" s="234" t="str">
        <f>WMT_Model!$D$20</f>
        <v>Units:</v>
      </c>
      <c r="E43" s="16">
        <f>WMT_Model!$E$20</f>
        <v>42400</v>
      </c>
      <c r="F43" s="16">
        <f>WMT_Model!$F$20</f>
        <v>42766</v>
      </c>
      <c r="G43" s="16">
        <f>WMT_Model!$G$20</f>
        <v>43131</v>
      </c>
      <c r="H43" s="17">
        <f>WMT_Model!$H$20</f>
        <v>43496</v>
      </c>
      <c r="I43" s="16">
        <f>WMT_Model!$I$20</f>
        <v>43861</v>
      </c>
      <c r="J43" s="16">
        <f>WMT_Model!$J$20</f>
        <v>44227</v>
      </c>
      <c r="K43" s="16">
        <f>WMT_Model!$K$20</f>
        <v>44592</v>
      </c>
      <c r="L43" s="16">
        <f>WMT_Model!$L$20</f>
        <v>44957</v>
      </c>
      <c r="M43" s="16">
        <f>WMT_Model!$M$20</f>
        <v>45322</v>
      </c>
      <c r="N43" s="16">
        <f>EOMONTH(M43,12)</f>
        <v>45688</v>
      </c>
      <c r="O43" s="16">
        <f t="shared" ref="O43:R43" si="3">EOMONTH(N43,12)</f>
        <v>46053</v>
      </c>
      <c r="P43" s="16">
        <f t="shared" si="3"/>
        <v>46418</v>
      </c>
      <c r="Q43" s="16">
        <f t="shared" si="3"/>
        <v>46783</v>
      </c>
      <c r="R43" s="16">
        <f t="shared" si="3"/>
        <v>47149</v>
      </c>
    </row>
    <row r="44" spans="1:18" ht="15.75" customHeight="1" outlineLevel="1" x14ac:dyDescent="0.45">
      <c r="A44" s="15"/>
      <c r="B44" s="396"/>
      <c r="C44" s="396"/>
      <c r="D44" s="347"/>
      <c r="E44" s="348"/>
      <c r="F44" s="348"/>
      <c r="G44" s="348"/>
      <c r="H44" s="348"/>
      <c r="I44" s="348"/>
      <c r="J44" s="348"/>
      <c r="K44" s="348"/>
      <c r="L44" s="348"/>
      <c r="M44" s="348"/>
      <c r="N44" s="348"/>
      <c r="O44" s="348"/>
      <c r="P44" s="348"/>
      <c r="Q44" s="348"/>
      <c r="R44" s="348"/>
    </row>
    <row r="45" spans="1:18" ht="15.75" customHeight="1" outlineLevel="1" x14ac:dyDescent="0.45">
      <c r="A45" s="15"/>
      <c r="C45" s="353" t="s">
        <v>202</v>
      </c>
      <c r="D45" s="235" t="s">
        <v>126</v>
      </c>
      <c r="E45" s="354">
        <f>+WMT_Model!E150</f>
        <v>482130</v>
      </c>
      <c r="F45" s="354">
        <f>+WMT_Model!F150</f>
        <v>485873</v>
      </c>
      <c r="G45" s="354">
        <f>+WMT_Model!G150</f>
        <v>500343</v>
      </c>
      <c r="H45" s="354">
        <f>+WMT_Model!H150</f>
        <v>514405</v>
      </c>
      <c r="I45" s="354">
        <f>+WMT_Model!I150</f>
        <v>526618.47038822377</v>
      </c>
      <c r="J45" s="354">
        <f>+WMT_Model!J150</f>
        <v>546853.67361168831</v>
      </c>
      <c r="K45" s="354">
        <f>+WMT_Model!K150</f>
        <v>564924.45042496605</v>
      </c>
      <c r="L45" s="354">
        <f>+WMT_Model!L150</f>
        <v>583287.15507929283</v>
      </c>
      <c r="M45" s="354">
        <f>+WMT_Model!M150</f>
        <v>600897.42556763662</v>
      </c>
      <c r="N45" s="394">
        <f>M45*(1+N46)</f>
        <v>618924.34833466576</v>
      </c>
      <c r="O45" s="394">
        <f t="shared" ref="O45:R45" si="4">N45*(1+O46)</f>
        <v>637492.07878470572</v>
      </c>
      <c r="P45" s="394">
        <f t="shared" si="4"/>
        <v>653429.38075432333</v>
      </c>
      <c r="Q45" s="394">
        <f t="shared" si="4"/>
        <v>669765.11527318135</v>
      </c>
      <c r="R45" s="394">
        <f t="shared" si="4"/>
        <v>686509.24315501086</v>
      </c>
    </row>
    <row r="46" spans="1:18" ht="15.75" customHeight="1" outlineLevel="1" x14ac:dyDescent="0.45">
      <c r="A46" s="15"/>
      <c r="C46" s="341" t="s">
        <v>298</v>
      </c>
      <c r="D46" s="235" t="s">
        <v>5</v>
      </c>
      <c r="E46" s="349" t="str">
        <f t="shared" ref="E46:F46" si="5">IFERROR(E45/D45-1,"N/A")</f>
        <v>N/A</v>
      </c>
      <c r="F46" s="349">
        <f t="shared" si="5"/>
        <v>7.7634662850267766E-3</v>
      </c>
      <c r="G46" s="349">
        <f t="shared" ref="G46" si="6">IFERROR(G45/F45-1,"N/A")</f>
        <v>2.9781444945489843E-2</v>
      </c>
      <c r="H46" s="349">
        <f t="shared" ref="H46" si="7">IFERROR(H45/G45-1,"N/A")</f>
        <v>2.8104720161968855E-2</v>
      </c>
      <c r="I46" s="349">
        <f t="shared" ref="I46" si="8">IFERROR(I45/H45-1,"N/A")</f>
        <v>2.3742907608253816E-2</v>
      </c>
      <c r="J46" s="349">
        <f t="shared" ref="J46" si="9">IFERROR(J45/I45-1,"N/A")</f>
        <v>3.842478826947926E-2</v>
      </c>
      <c r="K46" s="349">
        <f t="shared" ref="K46" si="10">IFERROR(K45/J45-1,"N/A")</f>
        <v>3.3044994822709173E-2</v>
      </c>
      <c r="L46" s="349">
        <f t="shared" ref="L46" si="11">IFERROR(L45/K45-1,"N/A")</f>
        <v>3.2504708621680978E-2</v>
      </c>
      <c r="M46" s="349">
        <f t="shared" ref="M46" si="12">IFERROR(M45/L45-1,"N/A")</f>
        <v>3.0191425158247798E-2</v>
      </c>
      <c r="N46" s="393">
        <f>_xlfn.XLOOKUP(Scenario,$C47:$C49,N47:N49,"N/A",0)</f>
        <v>0.03</v>
      </c>
      <c r="O46" s="393">
        <f>_xlfn.XLOOKUP(Scenario,$C47:$C49,O47:O49,"N/A",0)</f>
        <v>0.03</v>
      </c>
      <c r="P46" s="393">
        <f>_xlfn.XLOOKUP(Scenario,$C47:$C49,P47:P49,"N/A",0)</f>
        <v>2.5000000000000001E-2</v>
      </c>
      <c r="Q46" s="393">
        <f>_xlfn.XLOOKUP(Scenario,$C47:$C49,Q47:Q49,"N/A",0)</f>
        <v>2.5000000000000001E-2</v>
      </c>
      <c r="R46" s="393">
        <f>_xlfn.XLOOKUP(Scenario,$C47:$C49,R47:R49,"N/A",0)</f>
        <v>2.5000000000000001E-2</v>
      </c>
    </row>
    <row r="47" spans="1:18" ht="15.75" customHeight="1" outlineLevel="1" x14ac:dyDescent="0.45">
      <c r="A47" s="15"/>
      <c r="C47" s="392" t="str">
        <f>WMT_Model!$C$29</f>
        <v>Upside</v>
      </c>
      <c r="D47" s="235" t="s">
        <v>5</v>
      </c>
      <c r="E47" s="235"/>
      <c r="F47" s="293"/>
      <c r="G47" s="293"/>
      <c r="H47" s="293"/>
      <c r="I47" s="18"/>
      <c r="J47" s="18"/>
      <c r="K47" s="18"/>
      <c r="L47" s="18"/>
      <c r="M47" s="18"/>
      <c r="N47" s="19">
        <v>4.4999999999999998E-2</v>
      </c>
      <c r="O47" s="19">
        <v>4.4999999999999998E-2</v>
      </c>
      <c r="P47" s="19">
        <v>0.04</v>
      </c>
      <c r="Q47" s="19">
        <v>0.04</v>
      </c>
      <c r="R47" s="19">
        <v>3.5000000000000003E-2</v>
      </c>
    </row>
    <row r="48" spans="1:18" ht="15.75" customHeight="1" outlineLevel="1" x14ac:dyDescent="0.45">
      <c r="C48" s="392" t="str">
        <f>WMT_Model!$C$30</f>
        <v>Base</v>
      </c>
      <c r="D48" s="235" t="s">
        <v>5</v>
      </c>
      <c r="E48" s="235"/>
      <c r="F48" s="293"/>
      <c r="G48" s="293"/>
      <c r="H48" s="293"/>
      <c r="I48" s="18"/>
      <c r="J48" s="18"/>
      <c r="K48" s="18"/>
      <c r="L48" s="18"/>
      <c r="M48" s="18"/>
      <c r="N48" s="19">
        <v>0.03</v>
      </c>
      <c r="O48" s="19">
        <v>0.03</v>
      </c>
      <c r="P48" s="19">
        <v>2.5000000000000001E-2</v>
      </c>
      <c r="Q48" s="19">
        <v>2.5000000000000001E-2</v>
      </c>
      <c r="R48" s="19">
        <v>2.5000000000000001E-2</v>
      </c>
    </row>
    <row r="49" spans="3:18" ht="15.75" customHeight="1" outlineLevel="1" x14ac:dyDescent="0.45">
      <c r="C49" s="392" t="str">
        <f>WMT_Model!$C$31</f>
        <v>Downside</v>
      </c>
      <c r="D49" s="235" t="s">
        <v>5</v>
      </c>
      <c r="E49" s="235"/>
      <c r="F49" s="293"/>
      <c r="G49" s="293"/>
      <c r="H49" s="293"/>
      <c r="I49" s="18"/>
      <c r="J49" s="18"/>
      <c r="K49" s="18"/>
      <c r="L49" s="18"/>
      <c r="M49" s="18"/>
      <c r="N49" s="19">
        <v>0.02</v>
      </c>
      <c r="O49" s="19">
        <v>0.02</v>
      </c>
      <c r="P49" s="19">
        <v>1.4999999999999999E-2</v>
      </c>
      <c r="Q49" s="19">
        <v>1.4999999999999999E-2</v>
      </c>
      <c r="R49" s="19">
        <v>1.4999999999999999E-2</v>
      </c>
    </row>
    <row r="50" spans="3:18" ht="15.75" customHeight="1" outlineLevel="1" x14ac:dyDescent="0.45">
      <c r="C50" s="304"/>
      <c r="D50" s="235"/>
      <c r="E50" s="235"/>
      <c r="F50" s="293"/>
      <c r="G50" s="293"/>
      <c r="H50" s="293"/>
      <c r="I50" s="18"/>
      <c r="J50" s="18"/>
      <c r="K50" s="18"/>
      <c r="L50" s="18"/>
      <c r="M50" s="18"/>
    </row>
    <row r="51" spans="3:18" outlineLevel="1" x14ac:dyDescent="0.45">
      <c r="C51" s="338" t="s">
        <v>7</v>
      </c>
      <c r="D51" s="235" t="s">
        <v>126</v>
      </c>
      <c r="E51" s="350">
        <f>+WMT_Model!E153</f>
        <v>24105</v>
      </c>
      <c r="F51" s="350">
        <f>+WMT_Model!F153</f>
        <v>22764</v>
      </c>
      <c r="G51" s="350">
        <f>+WMT_Model!G153</f>
        <v>20437</v>
      </c>
      <c r="H51" s="350">
        <f>+WMT_Model!H153</f>
        <v>21957</v>
      </c>
      <c r="I51" s="350">
        <f>+WMT_Model!I153</f>
        <v>21479.892416658069</v>
      </c>
      <c r="J51" s="350">
        <f>+WMT_Model!J153</f>
        <v>21788.010780819841</v>
      </c>
      <c r="K51" s="350">
        <f>+WMT_Model!K153</f>
        <v>22050.20421001421</v>
      </c>
      <c r="L51" s="350">
        <f>+WMT_Model!L153</f>
        <v>22371.115980465078</v>
      </c>
      <c r="M51" s="350">
        <f>+WMT_Model!M153</f>
        <v>23030.589630547824</v>
      </c>
      <c r="N51" s="325">
        <f>+N52*N45</f>
        <v>23721.507319464261</v>
      </c>
      <c r="O51" s="325">
        <f t="shared" ref="O51:R51" si="13">+O52*O45</f>
        <v>24433.152539048187</v>
      </c>
      <c r="P51" s="325">
        <f t="shared" si="13"/>
        <v>25043.981352524392</v>
      </c>
      <c r="Q51" s="325">
        <f t="shared" si="13"/>
        <v>25670.080886337499</v>
      </c>
      <c r="R51" s="325">
        <f t="shared" si="13"/>
        <v>26311.832908495937</v>
      </c>
    </row>
    <row r="52" spans="3:18" outlineLevel="1" x14ac:dyDescent="0.45">
      <c r="C52" s="341" t="s">
        <v>299</v>
      </c>
      <c r="D52" s="391" t="s">
        <v>5</v>
      </c>
      <c r="E52" s="349">
        <f>+E51/E45</f>
        <v>4.9996888805923713E-2</v>
      </c>
      <c r="F52" s="349">
        <f t="shared" ref="F52:M52" si="14">+F51/F45</f>
        <v>4.6851749325441013E-2</v>
      </c>
      <c r="G52" s="349">
        <f t="shared" si="14"/>
        <v>4.084597965795464E-2</v>
      </c>
      <c r="H52" s="349">
        <f t="shared" si="14"/>
        <v>4.268426628823592E-2</v>
      </c>
      <c r="I52" s="349">
        <f t="shared" si="14"/>
        <v>4.0788338473626014E-2</v>
      </c>
      <c r="J52" s="349">
        <f t="shared" si="14"/>
        <v>3.9842487729708741E-2</v>
      </c>
      <c r="K52" s="349">
        <f t="shared" si="14"/>
        <v>3.9032129328845443E-2</v>
      </c>
      <c r="L52" s="349">
        <f t="shared" si="14"/>
        <v>3.8353520707007371E-2</v>
      </c>
      <c r="M52" s="349">
        <f t="shared" si="14"/>
        <v>3.8326990016294415E-2</v>
      </c>
      <c r="N52" s="322">
        <f>+M52</f>
        <v>3.8326990016294415E-2</v>
      </c>
      <c r="O52" s="322">
        <f>+N52</f>
        <v>3.8326990016294415E-2</v>
      </c>
      <c r="P52" s="322">
        <f t="shared" ref="P52:R52" si="15">+O52</f>
        <v>3.8326990016294415E-2</v>
      </c>
      <c r="Q52" s="322">
        <f t="shared" si="15"/>
        <v>3.8326990016294415E-2</v>
      </c>
      <c r="R52" s="322">
        <f t="shared" si="15"/>
        <v>3.8326990016294415E-2</v>
      </c>
    </row>
    <row r="53" spans="3:18" outlineLevel="1" x14ac:dyDescent="0.45"/>
    <row r="54" spans="3:18" outlineLevel="1" x14ac:dyDescent="0.45">
      <c r="C54" s="38" t="s">
        <v>139</v>
      </c>
      <c r="D54" s="235" t="s">
        <v>126</v>
      </c>
      <c r="E54" s="325">
        <f t="shared" ref="E54:M54" si="16">-E51*Tax_Rate</f>
        <v>-5847.4607329842929</v>
      </c>
      <c r="F54" s="325">
        <f t="shared" si="16"/>
        <v>-5522.1570680628265</v>
      </c>
      <c r="G54" s="325">
        <f t="shared" si="16"/>
        <v>-4957.6666666666661</v>
      </c>
      <c r="H54" s="325">
        <f t="shared" si="16"/>
        <v>-5326.3926701570681</v>
      </c>
      <c r="I54" s="325">
        <f t="shared" si="16"/>
        <v>-5210.6545303934927</v>
      </c>
      <c r="J54" s="325">
        <f t="shared" si="16"/>
        <v>-5285.3987758009735</v>
      </c>
      <c r="K54" s="325">
        <f t="shared" si="16"/>
        <v>-5349.0024174380014</v>
      </c>
      <c r="L54" s="325">
        <f t="shared" si="16"/>
        <v>-5426.8501244060135</v>
      </c>
      <c r="M54" s="325">
        <f t="shared" si="16"/>
        <v>-5586.8271529601179</v>
      </c>
      <c r="N54" s="325">
        <f t="shared" ref="N54:R54" si="17">-N51*Tax_Rate</f>
        <v>-5754.4319675489214</v>
      </c>
      <c r="O54" s="325">
        <f t="shared" si="17"/>
        <v>-5927.0649265753891</v>
      </c>
      <c r="P54" s="325">
        <f t="shared" si="17"/>
        <v>-6075.2415497397733</v>
      </c>
      <c r="Q54" s="325">
        <f t="shared" si="17"/>
        <v>-6227.1225884832675</v>
      </c>
      <c r="R54" s="325">
        <f t="shared" si="17"/>
        <v>-6382.8006531953488</v>
      </c>
    </row>
    <row r="55" spans="3:18" outlineLevel="1" x14ac:dyDescent="0.45">
      <c r="C55" s="38"/>
      <c r="N55" s="632"/>
      <c r="O55" s="632"/>
      <c r="P55" s="632"/>
      <c r="Q55" s="632"/>
      <c r="R55" s="632"/>
    </row>
    <row r="56" spans="3:18" outlineLevel="1" x14ac:dyDescent="0.45">
      <c r="C56" s="37" t="s">
        <v>85</v>
      </c>
      <c r="D56" s="235" t="s">
        <v>126</v>
      </c>
      <c r="E56" s="308">
        <f>+E51+E54</f>
        <v>18257.539267015709</v>
      </c>
      <c r="F56" s="308">
        <f t="shared" ref="F56:R56" si="18">+F51+F54</f>
        <v>17241.842931937172</v>
      </c>
      <c r="G56" s="308">
        <f t="shared" si="18"/>
        <v>15479.333333333334</v>
      </c>
      <c r="H56" s="308">
        <f t="shared" si="18"/>
        <v>16630.607329842933</v>
      </c>
      <c r="I56" s="308">
        <f t="shared" si="18"/>
        <v>16269.237886264576</v>
      </c>
      <c r="J56" s="308">
        <f t="shared" si="18"/>
        <v>16502.612005018869</v>
      </c>
      <c r="K56" s="308">
        <f t="shared" si="18"/>
        <v>16701.201792576208</v>
      </c>
      <c r="L56" s="308">
        <f t="shared" si="18"/>
        <v>16944.265856059064</v>
      </c>
      <c r="M56" s="308">
        <f t="shared" si="18"/>
        <v>17443.762477587705</v>
      </c>
      <c r="N56" s="308">
        <f t="shared" si="18"/>
        <v>17967.07535191534</v>
      </c>
      <c r="O56" s="308">
        <f t="shared" si="18"/>
        <v>18506.087612472798</v>
      </c>
      <c r="P56" s="308">
        <f t="shared" si="18"/>
        <v>18968.739802784617</v>
      </c>
      <c r="Q56" s="308">
        <f t="shared" si="18"/>
        <v>19442.958297854231</v>
      </c>
      <c r="R56" s="308">
        <f t="shared" si="18"/>
        <v>19929.03225530059</v>
      </c>
    </row>
    <row r="57" spans="3:18" outlineLevel="1" x14ac:dyDescent="0.45"/>
    <row r="58" spans="3:18" outlineLevel="1" x14ac:dyDescent="0.45">
      <c r="C58" s="37" t="s">
        <v>12</v>
      </c>
    </row>
    <row r="59" spans="3:18" outlineLevel="1" x14ac:dyDescent="0.45">
      <c r="C59" s="238" t="str">
        <f>WMT_Model!C222</f>
        <v>(+) Depreciation &amp; Amortization:</v>
      </c>
      <c r="D59" s="235" t="s">
        <v>126</v>
      </c>
      <c r="E59" s="350">
        <f>+WMT_Model!E222</f>
        <v>9454</v>
      </c>
      <c r="F59" s="350">
        <f>+WMT_Model!F222</f>
        <v>10080</v>
      </c>
      <c r="G59" s="350">
        <f>+WMT_Model!G222</f>
        <v>10529</v>
      </c>
      <c r="H59" s="350">
        <f>+WMT_Model!H222</f>
        <v>10678</v>
      </c>
      <c r="I59" s="350">
        <f>+WMT_Model!I222</f>
        <v>10532.369407764476</v>
      </c>
      <c r="J59" s="350">
        <f>+WMT_Model!J222</f>
        <v>10937.073472233766</v>
      </c>
      <c r="K59" s="350">
        <f>+WMT_Model!K222</f>
        <v>11298.489008499322</v>
      </c>
      <c r="L59" s="350">
        <f>+WMT_Model!L222</f>
        <v>11665.743101585856</v>
      </c>
      <c r="M59" s="350">
        <f>+WMT_Model!M222</f>
        <v>12017.948511352732</v>
      </c>
      <c r="N59" s="325">
        <f>+N60*N45</f>
        <v>12378.486966693315</v>
      </c>
      <c r="O59" s="325">
        <f t="shared" ref="O59:R59" si="19">+O60*O45</f>
        <v>12749.841575694114</v>
      </c>
      <c r="P59" s="325">
        <f t="shared" si="19"/>
        <v>13068.587615086466</v>
      </c>
      <c r="Q59" s="325">
        <f t="shared" si="19"/>
        <v>13395.302305463627</v>
      </c>
      <c r="R59" s="325">
        <f t="shared" si="19"/>
        <v>13730.184863100218</v>
      </c>
    </row>
    <row r="60" spans="3:18" outlineLevel="1" x14ac:dyDescent="0.45">
      <c r="C60" s="395" t="s">
        <v>262</v>
      </c>
      <c r="D60" s="391" t="s">
        <v>5</v>
      </c>
      <c r="E60" s="349">
        <f>+E59/E45</f>
        <v>1.9608819198141579E-2</v>
      </c>
      <c r="F60" s="349">
        <f t="shared" ref="F60:M60" si="20">+F59/F45</f>
        <v>2.074616206292591E-2</v>
      </c>
      <c r="G60" s="349">
        <f t="shared" si="20"/>
        <v>2.1043564115017097E-2</v>
      </c>
      <c r="H60" s="349">
        <f t="shared" si="20"/>
        <v>2.0757963083562564E-2</v>
      </c>
      <c r="I60" s="349">
        <f t="shared" si="20"/>
        <v>0.02</v>
      </c>
      <c r="J60" s="349">
        <f t="shared" si="20"/>
        <v>0.02</v>
      </c>
      <c r="K60" s="349">
        <f t="shared" si="20"/>
        <v>0.02</v>
      </c>
      <c r="L60" s="349">
        <f t="shared" si="20"/>
        <v>0.02</v>
      </c>
      <c r="M60" s="349">
        <f t="shared" si="20"/>
        <v>0.02</v>
      </c>
      <c r="N60" s="322">
        <f>+M60</f>
        <v>0.02</v>
      </c>
      <c r="O60" s="322">
        <f t="shared" ref="O60:R60" si="21">+N60</f>
        <v>0.02</v>
      </c>
      <c r="P60" s="322">
        <f t="shared" si="21"/>
        <v>0.02</v>
      </c>
      <c r="Q60" s="322">
        <f t="shared" si="21"/>
        <v>0.02</v>
      </c>
      <c r="R60" s="322">
        <f t="shared" si="21"/>
        <v>0.02</v>
      </c>
    </row>
    <row r="61" spans="3:18" outlineLevel="1" x14ac:dyDescent="0.45">
      <c r="C61" s="238"/>
      <c r="D61" s="235"/>
      <c r="E61" s="350"/>
      <c r="F61" s="350"/>
      <c r="G61" s="350"/>
      <c r="H61" s="350"/>
      <c r="I61" s="350"/>
      <c r="J61" s="350"/>
      <c r="K61" s="350"/>
      <c r="L61" s="350"/>
      <c r="M61" s="350"/>
      <c r="N61" s="632"/>
      <c r="O61" s="632"/>
      <c r="P61" s="632"/>
      <c r="Q61" s="632"/>
      <c r="R61" s="632"/>
    </row>
    <row r="62" spans="3:18" outlineLevel="1" x14ac:dyDescent="0.45">
      <c r="C62" s="238" t="str">
        <f>WMT_Model!C225</f>
        <v>(+/-) Deferred Income Taxes:</v>
      </c>
      <c r="D62" s="235" t="s">
        <v>126</v>
      </c>
      <c r="E62" s="325">
        <f>-E54*WMT_Model!E119</f>
        <v>-599.19085278521572</v>
      </c>
      <c r="F62" s="325">
        <f>-F54*WMT_Model!F119</f>
        <v>677.36323803929895</v>
      </c>
      <c r="G62" s="325">
        <f>-G54*WMT_Model!G119</f>
        <v>-327.63710144927529</v>
      </c>
      <c r="H62" s="325">
        <f>-H54*WMT_Model!H119</f>
        <v>-620.85259107880802</v>
      </c>
      <c r="I62" s="325">
        <f>-I54*WMT_Model!I119</f>
        <v>-211.62549012867424</v>
      </c>
      <c r="J62" s="325">
        <f>-J54*WMT_Model!J119</f>
        <v>-214.66115243873369</v>
      </c>
      <c r="K62" s="325">
        <f>-K54*WMT_Model!K119</f>
        <v>-217.24435033774853</v>
      </c>
      <c r="L62" s="325">
        <f>-L54*WMT_Model!L119</f>
        <v>-220.40605661599125</v>
      </c>
      <c r="M62" s="325">
        <f>-M54*WMT_Model!M119</f>
        <v>-226.90336264148488</v>
      </c>
      <c r="N62" s="325">
        <f>-N63*N54</f>
        <v>-233.71046352072941</v>
      </c>
      <c r="O62" s="325">
        <f t="shared" ref="O62:R62" si="22">-O63*O54</f>
        <v>-240.72177742635128</v>
      </c>
      <c r="P62" s="325">
        <f t="shared" si="22"/>
        <v>-246.73982186201005</v>
      </c>
      <c r="Q62" s="325">
        <f t="shared" si="22"/>
        <v>-252.90831740856029</v>
      </c>
      <c r="R62" s="325">
        <f t="shared" si="22"/>
        <v>-259.23102534377426</v>
      </c>
    </row>
    <row r="63" spans="3:18" outlineLevel="1" x14ac:dyDescent="0.45">
      <c r="C63" s="395" t="s">
        <v>329</v>
      </c>
      <c r="D63" s="391" t="s">
        <v>5</v>
      </c>
      <c r="E63" s="349">
        <f>-E62/E54</f>
        <v>-0.10247026532479414</v>
      </c>
      <c r="F63" s="349">
        <f t="shared" ref="F63:M63" si="23">-F62/F54</f>
        <v>0.12266279819471308</v>
      </c>
      <c r="G63" s="349">
        <f t="shared" si="23"/>
        <v>-6.6086956521739126E-2</v>
      </c>
      <c r="H63" s="349">
        <f t="shared" si="23"/>
        <v>-0.11656155103947677</v>
      </c>
      <c r="I63" s="349">
        <f t="shared" si="23"/>
        <v>-4.0613993672824235E-2</v>
      </c>
      <c r="J63" s="349">
        <f t="shared" si="23"/>
        <v>-4.0613993672824235E-2</v>
      </c>
      <c r="K63" s="349">
        <f t="shared" si="23"/>
        <v>-4.0613993672824235E-2</v>
      </c>
      <c r="L63" s="349">
        <f t="shared" si="23"/>
        <v>-4.0613993672824235E-2</v>
      </c>
      <c r="M63" s="349">
        <f t="shared" si="23"/>
        <v>-4.0613993672824235E-2</v>
      </c>
      <c r="N63" s="322">
        <f>+M63</f>
        <v>-4.0613993672824235E-2</v>
      </c>
      <c r="O63" s="322">
        <f t="shared" ref="O63:R63" si="24">+N63</f>
        <v>-4.0613993672824235E-2</v>
      </c>
      <c r="P63" s="322">
        <f t="shared" si="24"/>
        <v>-4.0613993672824235E-2</v>
      </c>
      <c r="Q63" s="322">
        <f t="shared" si="24"/>
        <v>-4.0613993672824235E-2</v>
      </c>
      <c r="R63" s="322">
        <f t="shared" si="24"/>
        <v>-4.0613993672824235E-2</v>
      </c>
    </row>
    <row r="64" spans="3:18" outlineLevel="1" x14ac:dyDescent="0.45">
      <c r="C64" s="238"/>
      <c r="D64" s="235"/>
      <c r="E64" s="325"/>
      <c r="F64" s="325"/>
      <c r="G64" s="325"/>
      <c r="H64" s="325"/>
      <c r="I64" s="325"/>
      <c r="J64" s="325"/>
      <c r="K64" s="325"/>
      <c r="L64" s="325"/>
      <c r="M64" s="325"/>
      <c r="N64" s="632"/>
      <c r="O64" s="632"/>
      <c r="P64" s="632"/>
      <c r="Q64" s="632"/>
      <c r="R64" s="632"/>
    </row>
    <row r="65" spans="3:18" outlineLevel="1" x14ac:dyDescent="0.45">
      <c r="C65" s="238" t="str">
        <f>WMT_Model!C226</f>
        <v>(+/-) Other Operating Activities:</v>
      </c>
      <c r="D65" s="235" t="s">
        <v>126</v>
      </c>
      <c r="E65" s="350">
        <f>+WMT_Model!E226</f>
        <v>1410</v>
      </c>
      <c r="F65" s="350">
        <f>+WMT_Model!F226</f>
        <v>206</v>
      </c>
      <c r="G65" s="350">
        <f>+WMT_Model!G226</f>
        <v>1210</v>
      </c>
      <c r="H65" s="350">
        <f>+WMT_Model!H226</f>
        <v>1734</v>
      </c>
      <c r="I65" s="350">
        <f>+WMT_Model!I226</f>
        <v>1203.0240018246857</v>
      </c>
      <c r="J65" s="350">
        <f>+WMT_Model!J226</f>
        <v>1249.2499443779009</v>
      </c>
      <c r="K65" s="350">
        <f>+WMT_Model!K226</f>
        <v>1290.5314023221383</v>
      </c>
      <c r="L65" s="350">
        <f>+WMT_Model!L226</f>
        <v>1332.4797495217488</v>
      </c>
      <c r="M65" s="350">
        <f>+WMT_Model!M226</f>
        <v>1372.7092121543155</v>
      </c>
      <c r="N65" s="325">
        <f>+N66*N45</f>
        <v>1413.8904885189449</v>
      </c>
      <c r="O65" s="325">
        <f t="shared" ref="O65:R65" si="25">+O66*O45</f>
        <v>1456.3072031745135</v>
      </c>
      <c r="P65" s="325">
        <f t="shared" si="25"/>
        <v>1492.7148832538762</v>
      </c>
      <c r="Q65" s="325">
        <f t="shared" si="25"/>
        <v>1530.0327553352229</v>
      </c>
      <c r="R65" s="325">
        <f t="shared" si="25"/>
        <v>1568.2835742186035</v>
      </c>
    </row>
    <row r="66" spans="3:18" outlineLevel="1" x14ac:dyDescent="0.45">
      <c r="C66" s="395" t="s">
        <v>262</v>
      </c>
      <c r="D66" s="391" t="s">
        <v>5</v>
      </c>
      <c r="E66" s="349">
        <f>+E65/E45</f>
        <v>2.92452243170929E-3</v>
      </c>
      <c r="F66" s="349">
        <f t="shared" ref="F66:M66" si="26">+F65/F45</f>
        <v>4.2397910565106521E-4</v>
      </c>
      <c r="G66" s="349">
        <f t="shared" si="26"/>
        <v>2.4183410180616096E-3</v>
      </c>
      <c r="H66" s="349">
        <f t="shared" si="26"/>
        <v>3.3708848086624354E-3</v>
      </c>
      <c r="I66" s="349">
        <f t="shared" si="26"/>
        <v>2.2844318410210999E-3</v>
      </c>
      <c r="J66" s="349">
        <f t="shared" si="26"/>
        <v>2.2844318410210999E-3</v>
      </c>
      <c r="K66" s="349">
        <f t="shared" si="26"/>
        <v>2.2844318410210999E-3</v>
      </c>
      <c r="L66" s="349">
        <f t="shared" si="26"/>
        <v>2.2844318410210999E-3</v>
      </c>
      <c r="M66" s="349">
        <f t="shared" si="26"/>
        <v>2.2844318410210999E-3</v>
      </c>
      <c r="N66" s="322">
        <f>+M66</f>
        <v>2.2844318410210999E-3</v>
      </c>
      <c r="O66" s="322">
        <f t="shared" ref="O66:R66" si="27">+N66</f>
        <v>2.2844318410210999E-3</v>
      </c>
      <c r="P66" s="322">
        <f t="shared" si="27"/>
        <v>2.2844318410210999E-3</v>
      </c>
      <c r="Q66" s="322">
        <f t="shared" si="27"/>
        <v>2.2844318410210999E-3</v>
      </c>
      <c r="R66" s="322">
        <f t="shared" si="27"/>
        <v>2.2844318410210999E-3</v>
      </c>
    </row>
    <row r="67" spans="3:18" outlineLevel="1" x14ac:dyDescent="0.45">
      <c r="C67" s="238"/>
      <c r="D67" s="235"/>
      <c r="E67" s="350"/>
      <c r="F67" s="350"/>
      <c r="G67" s="350"/>
      <c r="H67" s="350"/>
      <c r="I67" s="350"/>
      <c r="J67" s="350"/>
      <c r="K67" s="350"/>
      <c r="L67" s="350"/>
      <c r="M67" s="350"/>
      <c r="N67" s="632"/>
      <c r="O67" s="632"/>
      <c r="P67" s="632"/>
      <c r="Q67" s="632"/>
      <c r="R67" s="632"/>
    </row>
    <row r="68" spans="3:18" outlineLevel="2" x14ac:dyDescent="0.45">
      <c r="C68" s="37" t="s">
        <v>306</v>
      </c>
      <c r="N68" s="632"/>
      <c r="O68" s="632"/>
      <c r="P68" s="632"/>
      <c r="Q68" s="632"/>
      <c r="R68" s="632"/>
    </row>
    <row r="69" spans="3:18" outlineLevel="2" x14ac:dyDescent="0.45">
      <c r="C69" s="238" t="str">
        <f>+WMT_Model!C228</f>
        <v>Accounts Receivable:</v>
      </c>
      <c r="D69" s="235" t="s">
        <v>126</v>
      </c>
      <c r="E69" s="350">
        <f>+WMT_Model!E228</f>
        <v>-19</v>
      </c>
      <c r="F69" s="350">
        <f>+WMT_Model!F228</f>
        <v>-402</v>
      </c>
      <c r="G69" s="350">
        <f>+WMT_Model!G228</f>
        <v>-1074</v>
      </c>
      <c r="H69" s="350">
        <f>+WMT_Model!H228</f>
        <v>-368</v>
      </c>
      <c r="I69" s="350">
        <f>+WMT_Model!I228</f>
        <v>76.599727009450362</v>
      </c>
      <c r="J69" s="350">
        <f>+WMT_Model!J228</f>
        <v>-220.87065495886327</v>
      </c>
      <c r="K69" s="350">
        <f>+WMT_Model!K228</f>
        <v>-230.57998402450539</v>
      </c>
      <c r="L69" s="350">
        <f>+WMT_Model!L228</f>
        <v>-216.41150394030501</v>
      </c>
      <c r="M69" s="350">
        <f>+WMT_Model!M228</f>
        <v>-207.54377924823075</v>
      </c>
      <c r="N69" s="632"/>
      <c r="O69" s="632"/>
      <c r="P69" s="632"/>
      <c r="Q69" s="632"/>
      <c r="R69" s="632"/>
    </row>
    <row r="70" spans="3:18" outlineLevel="2" x14ac:dyDescent="0.45">
      <c r="C70" s="238" t="str">
        <f>+WMT_Model!C229</f>
        <v>Inventories:</v>
      </c>
      <c r="D70" s="235" t="s">
        <v>126</v>
      </c>
      <c r="E70" s="350">
        <f>+WMT_Model!E229</f>
        <v>-703</v>
      </c>
      <c r="F70" s="350">
        <f>+WMT_Model!F229</f>
        <v>1021</v>
      </c>
      <c r="G70" s="350">
        <f>+WMT_Model!G229</f>
        <v>-140</v>
      </c>
      <c r="H70" s="350">
        <f>+WMT_Model!H229</f>
        <v>-1311</v>
      </c>
      <c r="I70" s="350">
        <f>+WMT_Model!I229</f>
        <v>-609.9780462565468</v>
      </c>
      <c r="J70" s="350">
        <f>+WMT_Model!J229</f>
        <v>-1252.0837250766272</v>
      </c>
      <c r="K70" s="350">
        <f>+WMT_Model!K229</f>
        <v>-1026.5075078825103</v>
      </c>
      <c r="L70" s="350">
        <f>+WMT_Model!L229</f>
        <v>-1014.9882805536472</v>
      </c>
      <c r="M70" s="350">
        <f>+WMT_Model!M229</f>
        <v>-885.42291092986125</v>
      </c>
      <c r="N70" s="632"/>
      <c r="O70" s="632"/>
      <c r="P70" s="632"/>
      <c r="Q70" s="632"/>
      <c r="R70" s="632"/>
    </row>
    <row r="71" spans="3:18" outlineLevel="2" x14ac:dyDescent="0.45">
      <c r="C71" s="238" t="str">
        <f>+WMT_Model!C230</f>
        <v>Prepaid Expenses &amp; Other Assets:</v>
      </c>
      <c r="D71" s="235" t="s">
        <v>126</v>
      </c>
      <c r="E71" s="350">
        <f>+WMT_Model!E230</f>
        <v>2008</v>
      </c>
      <c r="F71" s="350">
        <f>+WMT_Model!F230</f>
        <v>0</v>
      </c>
      <c r="G71" s="350">
        <f>+WMT_Model!G230</f>
        <v>0</v>
      </c>
      <c r="H71" s="350">
        <f>+WMT_Model!H230</f>
        <v>0</v>
      </c>
      <c r="I71" s="350">
        <f>+WMT_Model!I230</f>
        <v>87.029954199039821</v>
      </c>
      <c r="J71" s="350">
        <f>+WMT_Model!J230</f>
        <v>-664.55525684598797</v>
      </c>
      <c r="K71" s="350">
        <f>+WMT_Model!K230</f>
        <v>-685.3429132876181</v>
      </c>
      <c r="L71" s="350">
        <f>+WMT_Model!L230</f>
        <v>-723.29217505371162</v>
      </c>
      <c r="M71" s="350">
        <f>+WMT_Model!M230</f>
        <v>-747.37480431969834</v>
      </c>
      <c r="N71" s="632"/>
      <c r="O71" s="632"/>
      <c r="P71" s="632"/>
      <c r="Q71" s="632"/>
      <c r="R71" s="632"/>
    </row>
    <row r="72" spans="3:18" outlineLevel="2" x14ac:dyDescent="0.45">
      <c r="C72" s="238" t="str">
        <f>+WMT_Model!C231</f>
        <v>Accounts Payable:</v>
      </c>
      <c r="D72" s="235" t="s">
        <v>126</v>
      </c>
      <c r="E72" s="350">
        <f>+WMT_Model!E231</f>
        <v>1466</v>
      </c>
      <c r="F72" s="350">
        <f>+WMT_Model!F231</f>
        <v>3942</v>
      </c>
      <c r="G72" s="350">
        <f>+WMT_Model!G231</f>
        <v>4086</v>
      </c>
      <c r="H72" s="350">
        <f>+WMT_Model!H231</f>
        <v>1831</v>
      </c>
      <c r="I72" s="350">
        <f>+WMT_Model!I231</f>
        <v>2443.5806412134407</v>
      </c>
      <c r="J72" s="350">
        <f>+WMT_Model!J231</f>
        <v>3002.9856418734125</v>
      </c>
      <c r="K72" s="350">
        <f>+WMT_Model!K231</f>
        <v>2866.606830838231</v>
      </c>
      <c r="L72" s="350">
        <f>+WMT_Model!L231</f>
        <v>2962.0949523529998</v>
      </c>
      <c r="M72" s="350">
        <f>+WMT_Model!M231</f>
        <v>2918.6165430533292</v>
      </c>
      <c r="N72" s="632"/>
      <c r="O72" s="632"/>
      <c r="P72" s="632"/>
      <c r="Q72" s="632"/>
      <c r="R72" s="632"/>
    </row>
    <row r="73" spans="3:18" outlineLevel="2" x14ac:dyDescent="0.45">
      <c r="C73" s="239" t="str">
        <f>+WMT_Model!C232</f>
        <v>Accrued Liabilities:</v>
      </c>
      <c r="D73" s="310" t="s">
        <v>126</v>
      </c>
      <c r="E73" s="363">
        <f>+WMT_Model!E232</f>
        <v>-472</v>
      </c>
      <c r="F73" s="363">
        <f>+WMT_Model!F232</f>
        <v>1772</v>
      </c>
      <c r="G73" s="363">
        <f>+WMT_Model!G232</f>
        <v>371</v>
      </c>
      <c r="H73" s="363">
        <f>+WMT_Model!H232</f>
        <v>143</v>
      </c>
      <c r="I73" s="363">
        <f>+WMT_Model!I232</f>
        <v>629.1458271188967</v>
      </c>
      <c r="J73" s="363">
        <f>+WMT_Model!J232</f>
        <v>915.84790427348344</v>
      </c>
      <c r="K73" s="363">
        <f>+WMT_Model!K232</f>
        <v>818.48167383992404</v>
      </c>
      <c r="L73" s="363">
        <f>+WMT_Model!L232</f>
        <v>829.19997173194861</v>
      </c>
      <c r="M73" s="363">
        <f>+WMT_Model!M232</f>
        <v>779.0578436182841</v>
      </c>
      <c r="N73" s="634"/>
      <c r="O73" s="634"/>
      <c r="P73" s="634"/>
      <c r="Q73" s="634"/>
      <c r="R73" s="634"/>
    </row>
    <row r="74" spans="3:18" outlineLevel="1" x14ac:dyDescent="0.45">
      <c r="C74" s="38" t="s">
        <v>327</v>
      </c>
      <c r="D74" s="235" t="s">
        <v>126</v>
      </c>
      <c r="E74" s="397">
        <f>SUM(E69:E73)</f>
        <v>2280</v>
      </c>
      <c r="F74" s="397">
        <f t="shared" ref="F74:M74" si="28">SUM(F69:F73)</f>
        <v>6333</v>
      </c>
      <c r="G74" s="397">
        <f t="shared" si="28"/>
        <v>3243</v>
      </c>
      <c r="H74" s="397">
        <f t="shared" si="28"/>
        <v>295</v>
      </c>
      <c r="I74" s="397">
        <f t="shared" si="28"/>
        <v>2626.3781032842808</v>
      </c>
      <c r="J74" s="397">
        <f t="shared" si="28"/>
        <v>1781.3239092654176</v>
      </c>
      <c r="K74" s="397">
        <f t="shared" si="28"/>
        <v>1742.6580994835213</v>
      </c>
      <c r="L74" s="397">
        <f t="shared" si="28"/>
        <v>1836.6029645372846</v>
      </c>
      <c r="M74" s="397">
        <f t="shared" si="28"/>
        <v>1857.332892173823</v>
      </c>
      <c r="N74" s="325">
        <f>+N75*(N45-M45)</f>
        <v>1901.2766795400485</v>
      </c>
      <c r="O74" s="325">
        <f t="shared" ref="O74:R74" si="29">+O75*(O45-N45)</f>
        <v>1958.314979926244</v>
      </c>
      <c r="P74" s="325">
        <f t="shared" si="29"/>
        <v>1680.8870244366897</v>
      </c>
      <c r="Q74" s="325">
        <f t="shared" si="29"/>
        <v>1722.9092000476046</v>
      </c>
      <c r="R74" s="325">
        <f t="shared" si="29"/>
        <v>1765.9819300487986</v>
      </c>
    </row>
    <row r="75" spans="3:18" outlineLevel="1" x14ac:dyDescent="0.45">
      <c r="C75" s="238" t="s">
        <v>300</v>
      </c>
      <c r="D75" s="391" t="s">
        <v>5</v>
      </c>
      <c r="E75" s="349" t="str">
        <f t="shared" ref="E75:M75" si="30">IFERROR(+E74/(E45-D45),"N/A")</f>
        <v>N/A</v>
      </c>
      <c r="F75" s="349">
        <f t="shared" si="30"/>
        <v>1.6919583222014427</v>
      </c>
      <c r="G75" s="349">
        <f t="shared" si="30"/>
        <v>0.22411886662059433</v>
      </c>
      <c r="H75" s="349">
        <f t="shared" si="30"/>
        <v>2.0978523680841986E-2</v>
      </c>
      <c r="I75" s="349">
        <f t="shared" si="30"/>
        <v>0.21503946215128467</v>
      </c>
      <c r="J75" s="349">
        <f t="shared" si="30"/>
        <v>8.803093745062128E-2</v>
      </c>
      <c r="K75" s="349">
        <f t="shared" si="30"/>
        <v>9.6435151487404808E-2</v>
      </c>
      <c r="L75" s="349">
        <f t="shared" si="30"/>
        <v>0.10001810730558847</v>
      </c>
      <c r="M75" s="349">
        <f t="shared" si="30"/>
        <v>0.10546873163607506</v>
      </c>
      <c r="N75" s="322">
        <f>+M75</f>
        <v>0.10546873163607506</v>
      </c>
      <c r="O75" s="322">
        <f t="shared" ref="O75:R75" si="31">+N75</f>
        <v>0.10546873163607506</v>
      </c>
      <c r="P75" s="322">
        <f t="shared" si="31"/>
        <v>0.10546873163607506</v>
      </c>
      <c r="Q75" s="322">
        <f t="shared" si="31"/>
        <v>0.10546873163607506</v>
      </c>
      <c r="R75" s="322">
        <f t="shared" si="31"/>
        <v>0.10546873163607506</v>
      </c>
    </row>
    <row r="76" spans="3:18" outlineLevel="1" x14ac:dyDescent="0.45">
      <c r="C76" s="38"/>
      <c r="N76" s="632"/>
      <c r="O76" s="632"/>
      <c r="P76" s="632"/>
      <c r="Q76" s="632"/>
      <c r="R76" s="632"/>
    </row>
    <row r="77" spans="3:18" outlineLevel="1" x14ac:dyDescent="0.45">
      <c r="C77" s="38" t="s">
        <v>302</v>
      </c>
      <c r="D77" s="235" t="s">
        <v>126</v>
      </c>
      <c r="E77" s="325">
        <f>+WMT_Model!E236+WMT_Model!E237</f>
        <v>-11477</v>
      </c>
      <c r="F77" s="325">
        <f>+WMT_Model!F236+WMT_Model!F237</f>
        <v>-13082</v>
      </c>
      <c r="G77" s="325">
        <f>+WMT_Model!G236+WMT_Model!G237</f>
        <v>-10426</v>
      </c>
      <c r="H77" s="325">
        <f>+WMT_Model!H236+WMT_Model!H237</f>
        <v>-25000</v>
      </c>
      <c r="I77" s="325">
        <f>+WMT_Model!I236+WMT_Model!I237</f>
        <v>-12574.886334693138</v>
      </c>
      <c r="J77" s="325">
        <f>+WMT_Model!J236+WMT_Model!J237</f>
        <v>-13513.304320769104</v>
      </c>
      <c r="K77" s="325">
        <f>+WMT_Model!K236+WMT_Model!K237</f>
        <v>-14470.002459937761</v>
      </c>
      <c r="L77" s="325">
        <f>+WMT_Model!L236+WMT_Model!L237</f>
        <v>-15431.707957586055</v>
      </c>
      <c r="M77" s="325">
        <f>+WMT_Model!M236+WMT_Model!M237</f>
        <v>-16395.17796636295</v>
      </c>
      <c r="N77" s="325">
        <f>-N78*N45</f>
        <v>-16887.033305353842</v>
      </c>
      <c r="O77" s="325">
        <f t="shared" ref="O77:R77" si="32">-O78*O45</f>
        <v>-17393.644304514455</v>
      </c>
      <c r="P77" s="325">
        <f t="shared" si="32"/>
        <v>-17828.485412127317</v>
      </c>
      <c r="Q77" s="325">
        <f t="shared" si="32"/>
        <v>-18274.197547430496</v>
      </c>
      <c r="R77" s="325">
        <f t="shared" si="32"/>
        <v>-18731.052486116259</v>
      </c>
    </row>
    <row r="78" spans="3:18" outlineLevel="1" x14ac:dyDescent="0.45">
      <c r="C78" s="238" t="s">
        <v>262</v>
      </c>
      <c r="D78" s="391" t="s">
        <v>5</v>
      </c>
      <c r="E78" s="349">
        <f t="shared" ref="E78:M78" si="33">-E77/E45</f>
        <v>2.3804782942359944E-2</v>
      </c>
      <c r="F78" s="349">
        <f t="shared" si="33"/>
        <v>2.6924731359840946E-2</v>
      </c>
      <c r="G78" s="349">
        <f t="shared" si="33"/>
        <v>2.0837705334140779E-2</v>
      </c>
      <c r="H78" s="349">
        <f t="shared" si="33"/>
        <v>4.859983864853569E-2</v>
      </c>
      <c r="I78" s="349">
        <f t="shared" si="33"/>
        <v>2.3878551630410753E-2</v>
      </c>
      <c r="J78" s="349">
        <f t="shared" si="33"/>
        <v>2.4711005837303155E-2</v>
      </c>
      <c r="K78" s="349">
        <f t="shared" si="33"/>
        <v>2.5614048832640648E-2</v>
      </c>
      <c r="L78" s="349">
        <f t="shared" si="33"/>
        <v>2.6456450863362915E-2</v>
      </c>
      <c r="M78" s="349">
        <f t="shared" si="33"/>
        <v>2.7284486950289854E-2</v>
      </c>
      <c r="N78" s="322">
        <f>+M78</f>
        <v>2.7284486950289854E-2</v>
      </c>
      <c r="O78" s="322">
        <f t="shared" ref="O78:R78" si="34">+N78</f>
        <v>2.7284486950289854E-2</v>
      </c>
      <c r="P78" s="322">
        <f t="shared" si="34"/>
        <v>2.7284486950289854E-2</v>
      </c>
      <c r="Q78" s="322">
        <f t="shared" si="34"/>
        <v>2.7284486950289854E-2</v>
      </c>
      <c r="R78" s="322">
        <f t="shared" si="34"/>
        <v>2.7284486950289854E-2</v>
      </c>
    </row>
    <row r="79" spans="3:18" outlineLevel="1" x14ac:dyDescent="0.45">
      <c r="C79" s="38"/>
    </row>
    <row r="80" spans="3:18" outlineLevel="1" x14ac:dyDescent="0.45">
      <c r="C80" s="351" t="s">
        <v>301</v>
      </c>
      <c r="D80" s="352" t="s">
        <v>126</v>
      </c>
      <c r="E80" s="403">
        <f t="shared" ref="E80:R80" si="35">+E56+E59+E62+E65+E74+E77</f>
        <v>19325.348414230491</v>
      </c>
      <c r="F80" s="403">
        <f t="shared" si="35"/>
        <v>21456.206169976474</v>
      </c>
      <c r="G80" s="403">
        <f t="shared" si="35"/>
        <v>19707.69623188406</v>
      </c>
      <c r="H80" s="403">
        <f t="shared" si="35"/>
        <v>3716.7547387641243</v>
      </c>
      <c r="I80" s="403">
        <f t="shared" si="35"/>
        <v>17844.497574316207</v>
      </c>
      <c r="J80" s="403">
        <f t="shared" si="35"/>
        <v>16742.293857688117</v>
      </c>
      <c r="K80" s="403">
        <f t="shared" si="35"/>
        <v>16345.633492605681</v>
      </c>
      <c r="L80" s="403">
        <f t="shared" si="35"/>
        <v>16126.97765750191</v>
      </c>
      <c r="M80" s="403">
        <f t="shared" si="35"/>
        <v>16069.671764264138</v>
      </c>
      <c r="N80" s="403">
        <f t="shared" si="35"/>
        <v>16539.985717793075</v>
      </c>
      <c r="O80" s="403">
        <f t="shared" si="35"/>
        <v>17036.185289326866</v>
      </c>
      <c r="P80" s="403">
        <f t="shared" si="35"/>
        <v>17135.704091572326</v>
      </c>
      <c r="Q80" s="403">
        <f t="shared" si="35"/>
        <v>17564.096693861629</v>
      </c>
      <c r="R80" s="403">
        <f t="shared" si="35"/>
        <v>18003.199111208171</v>
      </c>
    </row>
    <row r="81" spans="3:18" outlineLevel="1" x14ac:dyDescent="0.45">
      <c r="C81" s="359" t="s">
        <v>298</v>
      </c>
      <c r="D81" s="355" t="s">
        <v>5</v>
      </c>
      <c r="E81" s="362" t="str">
        <f t="shared" ref="E81" si="36">IFERROR(+E80/D80-1,"N/A")</f>
        <v>N/A</v>
      </c>
      <c r="F81" s="362">
        <f t="shared" ref="F81" si="37">IFERROR(+F80/E80-1,"N/A")</f>
        <v>0.11026232024758187</v>
      </c>
      <c r="G81" s="362">
        <f t="shared" ref="G81" si="38">IFERROR(+G80/F80-1,"N/A")</f>
        <v>-8.1492036580963378E-2</v>
      </c>
      <c r="H81" s="362">
        <f t="shared" ref="H81" si="39">IFERROR(+H80/G80-1,"N/A")</f>
        <v>-0.81140592512528276</v>
      </c>
      <c r="I81" s="362">
        <f t="shared" ref="I81" si="40">IFERROR(+I80/H80-1,"N/A")</f>
        <v>3.8010963403654028</v>
      </c>
      <c r="J81" s="362">
        <f t="shared" ref="J81" si="41">IFERROR(+J80/I80-1,"N/A")</f>
        <v>-6.1767147662061594E-2</v>
      </c>
      <c r="K81" s="362">
        <f t="shared" ref="K81" si="42">IFERROR(+K80/J80-1,"N/A")</f>
        <v>-2.369211581484032E-2</v>
      </c>
      <c r="L81" s="362">
        <f t="shared" ref="L81" si="43">IFERROR(+L80/K80-1,"N/A")</f>
        <v>-1.3377018101053406E-2</v>
      </c>
      <c r="M81" s="362">
        <f t="shared" ref="M81:R81" si="44">IFERROR(+M80/L80-1,"N/A")</f>
        <v>-3.5534180337326582E-3</v>
      </c>
      <c r="N81" s="362">
        <f t="shared" si="44"/>
        <v>2.9267178597563115E-2</v>
      </c>
      <c r="O81" s="362">
        <f t="shared" si="44"/>
        <v>2.9999999999999805E-2</v>
      </c>
      <c r="P81" s="362">
        <f t="shared" si="44"/>
        <v>5.8416130463083693E-3</v>
      </c>
      <c r="Q81" s="362">
        <f t="shared" si="44"/>
        <v>2.4999999999999689E-2</v>
      </c>
      <c r="R81" s="362">
        <f t="shared" si="44"/>
        <v>2.5000000000000133E-2</v>
      </c>
    </row>
    <row r="82" spans="3:18" outlineLevel="1" x14ac:dyDescent="0.45">
      <c r="C82" s="359"/>
      <c r="D82" s="355"/>
      <c r="E82" s="362"/>
      <c r="F82" s="362"/>
      <c r="G82" s="362"/>
      <c r="H82" s="362"/>
      <c r="I82" s="362"/>
      <c r="J82" s="362"/>
      <c r="K82" s="362"/>
      <c r="L82" s="362"/>
      <c r="M82" s="362"/>
      <c r="N82" s="362"/>
      <c r="O82" s="362"/>
      <c r="P82" s="362"/>
      <c r="Q82" s="362"/>
      <c r="R82" s="362"/>
    </row>
    <row r="83" spans="3:18" outlineLevel="1" x14ac:dyDescent="0.45">
      <c r="C83" s="538" t="s">
        <v>416</v>
      </c>
      <c r="D83" s="539" t="s">
        <v>126</v>
      </c>
      <c r="E83" s="540"/>
      <c r="F83" s="540"/>
      <c r="G83" s="541"/>
      <c r="H83" s="541"/>
      <c r="I83" s="542">
        <f>+I80-Q1_Results!I32</f>
        <v>15920.070000145177</v>
      </c>
      <c r="J83" s="542">
        <f>+J80</f>
        <v>16742.293857688117</v>
      </c>
      <c r="K83" s="542">
        <f t="shared" ref="K83:R83" si="45">+K80</f>
        <v>16345.633492605681</v>
      </c>
      <c r="L83" s="542">
        <f t="shared" si="45"/>
        <v>16126.97765750191</v>
      </c>
      <c r="M83" s="542">
        <f t="shared" si="45"/>
        <v>16069.671764264138</v>
      </c>
      <c r="N83" s="542">
        <f t="shared" si="45"/>
        <v>16539.985717793075</v>
      </c>
      <c r="O83" s="542">
        <f t="shared" si="45"/>
        <v>17036.185289326866</v>
      </c>
      <c r="P83" s="542">
        <f t="shared" si="45"/>
        <v>17135.704091572326</v>
      </c>
      <c r="Q83" s="542">
        <f t="shared" si="45"/>
        <v>17564.096693861629</v>
      </c>
      <c r="R83" s="542">
        <f t="shared" si="45"/>
        <v>18003.199111208171</v>
      </c>
    </row>
    <row r="84" spans="3:18" outlineLevel="1" x14ac:dyDescent="0.45">
      <c r="N84" s="632"/>
      <c r="O84" s="632"/>
      <c r="P84" s="632"/>
      <c r="Q84" s="632"/>
      <c r="R84" s="632"/>
    </row>
    <row r="85" spans="3:18" outlineLevel="1" x14ac:dyDescent="0.45">
      <c r="C85" s="338" t="s">
        <v>307</v>
      </c>
      <c r="D85" s="235" t="s">
        <v>5</v>
      </c>
      <c r="I85" s="356">
        <f t="shared" ref="I85:R85" si="46">Discount_Rate</f>
        <v>5.0402489681628616E-2</v>
      </c>
      <c r="J85" s="356">
        <f t="shared" si="46"/>
        <v>5.0402489681628616E-2</v>
      </c>
      <c r="K85" s="356">
        <f t="shared" si="46"/>
        <v>5.0402489681628616E-2</v>
      </c>
      <c r="L85" s="356">
        <f t="shared" si="46"/>
        <v>5.0402489681628616E-2</v>
      </c>
      <c r="M85" s="356">
        <f t="shared" si="46"/>
        <v>5.0402489681628616E-2</v>
      </c>
      <c r="N85" s="356">
        <f t="shared" si="46"/>
        <v>5.0402489681628616E-2</v>
      </c>
      <c r="O85" s="356">
        <f t="shared" si="46"/>
        <v>5.0402489681628616E-2</v>
      </c>
      <c r="P85" s="356">
        <f t="shared" si="46"/>
        <v>5.0402489681628616E-2</v>
      </c>
      <c r="Q85" s="356">
        <f t="shared" si="46"/>
        <v>5.0402489681628616E-2</v>
      </c>
      <c r="R85" s="356">
        <f t="shared" si="46"/>
        <v>5.0402489681628616E-2</v>
      </c>
    </row>
    <row r="86" spans="3:18" outlineLevel="1" x14ac:dyDescent="0.45">
      <c r="C86" s="25" t="s">
        <v>459</v>
      </c>
      <c r="D86" s="355" t="s">
        <v>304</v>
      </c>
      <c r="I86" s="357">
        <f>1/((1+I$85)^I89)</f>
        <v>0.96831436984594144</v>
      </c>
      <c r="J86" s="357">
        <f>+I86*1/(1+J$85)</f>
        <v>0.92185079467912567</v>
      </c>
      <c r="K86" s="357">
        <f t="shared" ref="K86:R87" si="47">+J86*1/(1+K$85)</f>
        <v>0.87761672666877788</v>
      </c>
      <c r="L86" s="357">
        <f t="shared" si="47"/>
        <v>0.83550518519313377</v>
      </c>
      <c r="M86" s="357">
        <f t="shared" si="47"/>
        <v>0.79541432298620207</v>
      </c>
      <c r="N86" s="357">
        <f t="shared" si="47"/>
        <v>0.75724717981893575</v>
      </c>
      <c r="O86" s="357">
        <f t="shared" si="47"/>
        <v>0.72091144799975992</v>
      </c>
      <c r="P86" s="357">
        <f t="shared" si="47"/>
        <v>0.68631924912731723</v>
      </c>
      <c r="Q86" s="357">
        <f t="shared" si="47"/>
        <v>0.65338692155550482</v>
      </c>
      <c r="R86" s="357">
        <f t="shared" si="47"/>
        <v>0.62203481805678407</v>
      </c>
    </row>
    <row r="87" spans="3:18" outlineLevel="1" x14ac:dyDescent="0.45">
      <c r="C87" s="25" t="s">
        <v>326</v>
      </c>
      <c r="D87" s="355" t="s">
        <v>304</v>
      </c>
      <c r="E87" s="25"/>
      <c r="I87" s="357">
        <f>1/((1+I$85)^I90)</f>
        <v>0.98402965902758299</v>
      </c>
      <c r="J87" s="357">
        <f>+I87*1/((1+J$85)^(J90-I90))</f>
        <v>0.9447970000702256</v>
      </c>
      <c r="K87" s="357">
        <f t="shared" si="47"/>
        <v>0.89946188185120213</v>
      </c>
      <c r="L87" s="357">
        <f t="shared" si="47"/>
        <v>0.85630212293558461</v>
      </c>
      <c r="M87" s="357">
        <f t="shared" si="47"/>
        <v>0.81521334093098463</v>
      </c>
      <c r="N87" s="357">
        <f t="shared" si="47"/>
        <v>0.7760961621274064</v>
      </c>
      <c r="O87" s="357">
        <f t="shared" si="47"/>
        <v>0.73885598116074247</v>
      </c>
      <c r="P87" s="357">
        <f t="shared" si="47"/>
        <v>0.70340273220857064</v>
      </c>
      <c r="Q87" s="357">
        <f t="shared" si="47"/>
        <v>0.66965067116488675</v>
      </c>
      <c r="R87" s="357">
        <f t="shared" si="47"/>
        <v>0.63751816826696051</v>
      </c>
    </row>
    <row r="88" spans="3:18" outlineLevel="1" x14ac:dyDescent="0.45">
      <c r="I88" s="632"/>
      <c r="J88" s="632"/>
      <c r="K88" s="632"/>
      <c r="L88" s="632"/>
      <c r="M88" s="632"/>
      <c r="N88" s="632"/>
      <c r="O88" s="632"/>
      <c r="P88" s="632"/>
      <c r="Q88" s="632"/>
      <c r="R88" s="632"/>
    </row>
    <row r="89" spans="3:18" outlineLevel="1" x14ac:dyDescent="0.45">
      <c r="C89" s="38" t="s">
        <v>303</v>
      </c>
      <c r="D89" s="355" t="s">
        <v>304</v>
      </c>
      <c r="I89" s="535">
        <f>+Stub_Period</f>
        <v>0.65479452054794518</v>
      </c>
      <c r="J89" s="635">
        <f>+I89+1</f>
        <v>1.6547945205479451</v>
      </c>
      <c r="K89" s="635">
        <f t="shared" ref="K89:R89" si="48">+J89+1</f>
        <v>2.6547945205479451</v>
      </c>
      <c r="L89" s="635">
        <f t="shared" si="48"/>
        <v>3.6547945205479451</v>
      </c>
      <c r="M89" s="635">
        <f t="shared" si="48"/>
        <v>4.6547945205479451</v>
      </c>
      <c r="N89" s="635">
        <f t="shared" si="48"/>
        <v>5.6547945205479451</v>
      </c>
      <c r="O89" s="635">
        <f t="shared" si="48"/>
        <v>6.6547945205479451</v>
      </c>
      <c r="P89" s="635">
        <f t="shared" si="48"/>
        <v>7.6547945205479451</v>
      </c>
      <c r="Q89" s="635">
        <f t="shared" si="48"/>
        <v>8.6547945205479451</v>
      </c>
      <c r="R89" s="635">
        <f t="shared" si="48"/>
        <v>9.6547945205479451</v>
      </c>
    </row>
    <row r="90" spans="3:18" outlineLevel="1" x14ac:dyDescent="0.45">
      <c r="C90" s="38" t="s">
        <v>305</v>
      </c>
      <c r="D90" s="355" t="s">
        <v>304</v>
      </c>
      <c r="I90" s="635">
        <f>+I89/2</f>
        <v>0.32739726027397259</v>
      </c>
      <c r="J90" s="635">
        <f>+J89-0.5</f>
        <v>1.1547945205479451</v>
      </c>
      <c r="K90" s="635">
        <f t="shared" ref="K90:R90" si="49">+K89-0.5</f>
        <v>2.1547945205479451</v>
      </c>
      <c r="L90" s="635">
        <f t="shared" si="49"/>
        <v>3.1547945205479451</v>
      </c>
      <c r="M90" s="635">
        <f t="shared" si="49"/>
        <v>4.1547945205479451</v>
      </c>
      <c r="N90" s="635">
        <f t="shared" si="49"/>
        <v>5.1547945205479451</v>
      </c>
      <c r="O90" s="635">
        <f t="shared" si="49"/>
        <v>6.1547945205479451</v>
      </c>
      <c r="P90" s="635">
        <f t="shared" si="49"/>
        <v>7.1547945205479451</v>
      </c>
      <c r="Q90" s="635">
        <f t="shared" si="49"/>
        <v>8.1547945205479451</v>
      </c>
      <c r="R90" s="635">
        <f t="shared" si="49"/>
        <v>9.1547945205479451</v>
      </c>
    </row>
    <row r="91" spans="3:18" outlineLevel="1" x14ac:dyDescent="0.45">
      <c r="N91" s="632"/>
      <c r="O91" s="632"/>
      <c r="P91" s="632"/>
      <c r="Q91" s="632"/>
      <c r="R91" s="632"/>
    </row>
    <row r="92" spans="3:18" outlineLevel="1" x14ac:dyDescent="0.45">
      <c r="C92" s="25" t="s">
        <v>308</v>
      </c>
      <c r="D92" s="235" t="s">
        <v>126</v>
      </c>
      <c r="I92" s="402">
        <f t="shared" ref="I92:R92" si="50">+I83*I87</f>
        <v>15665.821053938111</v>
      </c>
      <c r="J92" s="402">
        <f t="shared" si="50"/>
        <v>15818.069011037898</v>
      </c>
      <c r="K92" s="402">
        <f t="shared" si="50"/>
        <v>14702.274261309143</v>
      </c>
      <c r="L92" s="402">
        <f t="shared" si="50"/>
        <v>13809.565204653627</v>
      </c>
      <c r="M92" s="402">
        <f t="shared" si="50"/>
        <v>13100.210806610077</v>
      </c>
      <c r="N92" s="402">
        <f t="shared" si="50"/>
        <v>12836.619437221321</v>
      </c>
      <c r="O92" s="402">
        <f t="shared" si="50"/>
        <v>12587.287397181808</v>
      </c>
      <c r="P92" s="402">
        <f t="shared" si="50"/>
        <v>12053.301076329557</v>
      </c>
      <c r="Q92" s="402">
        <f t="shared" si="50"/>
        <v>11761.809139449408</v>
      </c>
      <c r="R92" s="402">
        <f t="shared" si="50"/>
        <v>11477.366520322805</v>
      </c>
    </row>
    <row r="93" spans="3:18" outlineLevel="1" x14ac:dyDescent="0.45">
      <c r="C93" s="25"/>
      <c r="N93" s="632"/>
      <c r="O93" s="632"/>
      <c r="P93" s="632"/>
      <c r="Q93" s="632"/>
      <c r="R93" s="632"/>
    </row>
    <row r="94" spans="3:18" outlineLevel="1" x14ac:dyDescent="0.45">
      <c r="C94" s="358" t="s">
        <v>14</v>
      </c>
      <c r="D94" s="360" t="s">
        <v>126</v>
      </c>
      <c r="E94" s="361">
        <f t="shared" ref="E94:R94" si="51">+E51+E59</f>
        <v>33559</v>
      </c>
      <c r="F94" s="361">
        <f t="shared" si="51"/>
        <v>32844</v>
      </c>
      <c r="G94" s="361">
        <f t="shared" si="51"/>
        <v>30966</v>
      </c>
      <c r="H94" s="361">
        <f t="shared" si="51"/>
        <v>32635</v>
      </c>
      <c r="I94" s="361">
        <f t="shared" si="51"/>
        <v>32012.261824422545</v>
      </c>
      <c r="J94" s="361">
        <f t="shared" si="51"/>
        <v>32725.084253053607</v>
      </c>
      <c r="K94" s="361">
        <f t="shared" si="51"/>
        <v>33348.69321851353</v>
      </c>
      <c r="L94" s="361">
        <f t="shared" si="51"/>
        <v>34036.859082050934</v>
      </c>
      <c r="M94" s="361">
        <f t="shared" si="51"/>
        <v>35048.538141900557</v>
      </c>
      <c r="N94" s="361">
        <f t="shared" si="51"/>
        <v>36099.994286157576</v>
      </c>
      <c r="O94" s="361">
        <f t="shared" si="51"/>
        <v>37182.994114742301</v>
      </c>
      <c r="P94" s="361">
        <f t="shared" si="51"/>
        <v>38112.56896761086</v>
      </c>
      <c r="Q94" s="361">
        <f t="shared" si="51"/>
        <v>39065.383191801127</v>
      </c>
      <c r="R94" s="361">
        <f t="shared" si="51"/>
        <v>40042.017771596154</v>
      </c>
    </row>
    <row r="95" spans="3:18" outlineLevel="1" x14ac:dyDescent="0.45">
      <c r="C95" s="359" t="s">
        <v>298</v>
      </c>
      <c r="D95" s="355" t="s">
        <v>5</v>
      </c>
      <c r="E95" s="362" t="str">
        <f t="shared" ref="E95" si="52">IFERROR(+E94/D94-1,"N/A")</f>
        <v>N/A</v>
      </c>
      <c r="F95" s="362">
        <f t="shared" ref="F95" si="53">IFERROR(+F94/E94-1,"N/A")</f>
        <v>-2.1305760004767693E-2</v>
      </c>
      <c r="G95" s="362">
        <f t="shared" ref="G95" si="54">IFERROR(+G94/F94-1,"N/A")</f>
        <v>-5.7179393496529007E-2</v>
      </c>
      <c r="H95" s="362">
        <f t="shared" ref="H95" si="55">IFERROR(+H94/G94-1,"N/A")</f>
        <v>5.3897823419233992E-2</v>
      </c>
      <c r="I95" s="362">
        <f t="shared" ref="I95" si="56">IFERROR(+I94/H94-1,"N/A")</f>
        <v>-1.9081911309252519E-2</v>
      </c>
      <c r="J95" s="362">
        <f t="shared" ref="J95" si="57">IFERROR(+J94/I94-1,"N/A")</f>
        <v>2.2267168516260316E-2</v>
      </c>
      <c r="K95" s="362">
        <f t="shared" ref="K95" si="58">IFERROR(+K94/J94-1,"N/A")</f>
        <v>1.9055992664151367E-2</v>
      </c>
      <c r="L95" s="362">
        <f t="shared" ref="L95" si="59">IFERROR(+L94/K94-1,"N/A")</f>
        <v>2.063546715393838E-2</v>
      </c>
      <c r="M95" s="362">
        <f t="shared" ref="M95:R95" si="60">IFERROR(+M94/L94-1,"N/A")</f>
        <v>2.9723043992126774E-2</v>
      </c>
      <c r="N95" s="362">
        <f t="shared" si="60"/>
        <v>3.0000000000000027E-2</v>
      </c>
      <c r="O95" s="362">
        <f t="shared" si="60"/>
        <v>3.0000000000000027E-2</v>
      </c>
      <c r="P95" s="362">
        <f t="shared" si="60"/>
        <v>2.4999999999999911E-2</v>
      </c>
      <c r="Q95" s="362">
        <f t="shared" si="60"/>
        <v>2.4999999999999911E-2</v>
      </c>
      <c r="R95" s="362">
        <f t="shared" si="60"/>
        <v>2.4999999999999911E-2</v>
      </c>
    </row>
    <row r="97" spans="2:30" x14ac:dyDescent="0.45">
      <c r="B97" s="233" t="s">
        <v>348</v>
      </c>
      <c r="C97" s="233"/>
      <c r="D97" s="444"/>
      <c r="E97" s="242"/>
      <c r="F97" s="242"/>
      <c r="G97" s="241"/>
      <c r="H97" s="241"/>
      <c r="I97" s="241"/>
      <c r="J97" s="241"/>
      <c r="K97" s="241"/>
      <c r="L97" s="241"/>
      <c r="M97" s="241"/>
      <c r="N97" s="241"/>
      <c r="O97" s="241"/>
      <c r="P97" s="241"/>
      <c r="Q97" s="241"/>
      <c r="R97" s="241"/>
      <c r="U97" s="587" t="s">
        <v>490</v>
      </c>
      <c r="V97" s="655"/>
      <c r="W97" s="655"/>
      <c r="X97" s="655"/>
      <c r="Y97" s="655"/>
      <c r="Z97" s="655"/>
      <c r="AA97" s="655"/>
      <c r="AB97" s="655"/>
      <c r="AC97" s="655"/>
      <c r="AD97" s="655"/>
    </row>
    <row r="98" spans="2:30" outlineLevel="1" x14ac:dyDescent="0.45">
      <c r="B98" s="338"/>
      <c r="C98" s="338"/>
      <c r="G98" s="338"/>
      <c r="H98" s="338"/>
      <c r="I98" s="338"/>
      <c r="J98" s="338"/>
      <c r="K98" s="338"/>
      <c r="L98" s="338"/>
      <c r="M98" s="338"/>
      <c r="N98" s="338"/>
      <c r="O98" s="338"/>
      <c r="P98" s="338"/>
      <c r="Q98" s="338"/>
      <c r="R98" s="338"/>
      <c r="U98" s="654"/>
      <c r="V98" s="654"/>
      <c r="W98" s="654"/>
      <c r="X98" s="654"/>
      <c r="Y98" s="654"/>
      <c r="Z98" s="654"/>
      <c r="AA98" s="654"/>
      <c r="AB98" s="654"/>
      <c r="AC98" s="654"/>
      <c r="AD98" s="654"/>
    </row>
    <row r="99" spans="2:30" outlineLevel="1" x14ac:dyDescent="0.45">
      <c r="B99" s="338"/>
      <c r="C99" s="6" t="s">
        <v>349</v>
      </c>
      <c r="F99" s="338"/>
      <c r="G99" s="338"/>
      <c r="H99" s="338"/>
      <c r="I99" s="338"/>
      <c r="J99" s="338"/>
      <c r="K99" s="338"/>
      <c r="L99" s="338"/>
      <c r="M99" s="338"/>
      <c r="N99" s="338"/>
      <c r="O99" s="338"/>
      <c r="P99" s="338"/>
      <c r="Q99" s="338"/>
      <c r="R99" s="338"/>
      <c r="U99" s="654"/>
      <c r="V99" s="6" t="s">
        <v>472</v>
      </c>
      <c r="W99" s="654"/>
      <c r="X99" s="654"/>
      <c r="Y99" s="654"/>
      <c r="Z99" s="654"/>
      <c r="AA99" s="654"/>
      <c r="AB99" s="654"/>
      <c r="AC99" s="654"/>
      <c r="AD99" s="654"/>
    </row>
    <row r="100" spans="2:30" outlineLevel="1" x14ac:dyDescent="0.45">
      <c r="B100" s="338"/>
      <c r="C100" s="5"/>
      <c r="F100" s="338"/>
      <c r="G100" s="338"/>
      <c r="H100" s="338"/>
      <c r="I100" s="338"/>
      <c r="J100" s="338"/>
      <c r="K100" s="338"/>
      <c r="L100" s="338"/>
      <c r="M100" s="338"/>
      <c r="N100" s="338"/>
      <c r="O100" s="338"/>
      <c r="P100" s="338"/>
      <c r="Q100" s="338"/>
      <c r="R100" s="338"/>
      <c r="U100" s="654"/>
      <c r="V100" s="654" t="s">
        <v>473</v>
      </c>
      <c r="W100" s="654"/>
      <c r="X100" s="654"/>
      <c r="Y100" s="654"/>
      <c r="Z100" s="654"/>
      <c r="AA100" s="654"/>
      <c r="AB100" s="654"/>
      <c r="AC100" s="654"/>
      <c r="AD100" s="654"/>
    </row>
    <row r="101" spans="2:30" outlineLevel="1" x14ac:dyDescent="0.45">
      <c r="B101" s="338"/>
      <c r="C101" s="445"/>
      <c r="D101" s="446"/>
      <c r="E101" s="447" t="s">
        <v>350</v>
      </c>
      <c r="F101" s="447"/>
      <c r="G101" s="447"/>
      <c r="H101" s="447"/>
      <c r="I101" s="447"/>
      <c r="J101" s="447"/>
      <c r="K101" s="447"/>
      <c r="L101" s="447"/>
      <c r="M101" s="448"/>
      <c r="N101" s="448"/>
      <c r="O101" s="448"/>
      <c r="P101" s="338"/>
      <c r="Q101" s="338"/>
      <c r="R101" s="338"/>
      <c r="U101" s="654"/>
      <c r="V101" s="654"/>
      <c r="W101" s="654"/>
      <c r="X101" s="654"/>
      <c r="Y101" s="654"/>
      <c r="Z101" s="654"/>
      <c r="AA101" s="654"/>
      <c r="AB101" s="654"/>
      <c r="AC101" s="654"/>
      <c r="AD101" s="654"/>
    </row>
    <row r="102" spans="2:30" outlineLevel="1" x14ac:dyDescent="0.45">
      <c r="B102" s="338"/>
      <c r="C102" s="449"/>
      <c r="D102" s="450">
        <f>$N$39</f>
        <v>111.86820608387424</v>
      </c>
      <c r="E102" s="451">
        <v>-7.4999999999999997E-3</v>
      </c>
      <c r="F102" s="451">
        <v>-6.2499999999999995E-3</v>
      </c>
      <c r="G102" s="451">
        <v>-4.9999999999999992E-3</v>
      </c>
      <c r="H102" s="451">
        <v>-3.7499999999999999E-3</v>
      </c>
      <c r="I102" s="451">
        <v>-2.4999999999999996E-3</v>
      </c>
      <c r="J102" s="451">
        <v>-1.2499999999999994E-3</v>
      </c>
      <c r="K102" s="451">
        <v>0</v>
      </c>
      <c r="L102" s="451">
        <v>1.2500000000000011E-3</v>
      </c>
      <c r="M102" s="451">
        <v>2.5000000000000005E-3</v>
      </c>
      <c r="N102" s="451">
        <v>3.7499999999999999E-3</v>
      </c>
      <c r="O102" s="451">
        <v>5.000000000000001E-3</v>
      </c>
      <c r="P102" s="338"/>
      <c r="Q102" s="338"/>
      <c r="R102" s="338"/>
      <c r="U102" s="654"/>
      <c r="V102" s="6" t="s">
        <v>474</v>
      </c>
      <c r="W102" s="654"/>
      <c r="X102" s="654"/>
      <c r="Y102" s="654"/>
      <c r="Z102" s="654"/>
      <c r="AA102" s="654"/>
      <c r="AB102" s="654"/>
      <c r="AC102" s="654"/>
      <c r="AD102" s="654"/>
    </row>
    <row r="103" spans="2:30" outlineLevel="1" x14ac:dyDescent="0.45">
      <c r="B103" s="338"/>
      <c r="C103" s="545" t="s">
        <v>307</v>
      </c>
      <c r="D103" s="452">
        <v>0.06</v>
      </c>
      <c r="E103" s="453">
        <f t="dataTable" ref="E103:O111" dt2D="1" dtr="1" r1="N12" r2="D8" ca="1"/>
        <v>81.477483125417123</v>
      </c>
      <c r="F103" s="454">
        <v>82.564441598500864</v>
      </c>
      <c r="G103" s="454">
        <v>83.693206166703206</v>
      </c>
      <c r="H103" s="454">
        <v>84.866236012089956</v>
      </c>
      <c r="I103" s="455">
        <v>86.086187051292171</v>
      </c>
      <c r="J103" s="454">
        <v>87.355932010461828</v>
      </c>
      <c r="K103" s="454">
        <v>88.678583009596878</v>
      </c>
      <c r="L103" s="454">
        <v>90.057517029971748</v>
      </c>
      <c r="M103" s="456">
        <v>91.49640470340637</v>
      </c>
      <c r="N103" s="456">
        <v>92.99924294010475</v>
      </c>
      <c r="O103" s="456">
        <v>94.570392005743983</v>
      </c>
      <c r="P103" s="338"/>
      <c r="Q103" s="543"/>
      <c r="R103" s="338"/>
      <c r="U103" s="654"/>
      <c r="V103" s="654" t="s">
        <v>475</v>
      </c>
      <c r="W103" s="654"/>
      <c r="X103" s="654"/>
      <c r="Y103" s="654"/>
      <c r="Z103" s="654"/>
      <c r="AA103" s="654"/>
      <c r="AB103" s="654"/>
      <c r="AC103" s="654"/>
      <c r="AD103" s="654"/>
    </row>
    <row r="104" spans="2:30" outlineLevel="1" x14ac:dyDescent="0.45">
      <c r="B104" s="338"/>
      <c r="C104" s="546"/>
      <c r="D104" s="452">
        <v>5.7499999999999996E-2</v>
      </c>
      <c r="E104" s="457">
        <v>85.232218072971591</v>
      </c>
      <c r="F104" s="458">
        <v>86.428054327332276</v>
      </c>
      <c r="G104" s="458">
        <v>87.671724031867384</v>
      </c>
      <c r="H104" s="458">
        <v>88.96615576515903</v>
      </c>
      <c r="I104" s="459">
        <v>90.314522154004493</v>
      </c>
      <c r="J104" s="458">
        <v>91.720265835992322</v>
      </c>
      <c r="K104" s="458">
        <v>93.187128808501356</v>
      </c>
      <c r="L104" s="458">
        <v>94.719185690899693</v>
      </c>
      <c r="M104" s="459">
        <v>96.320881522497942</v>
      </c>
      <c r="N104" s="459">
        <v>97.99707483463564</v>
      </c>
      <c r="O104" s="459">
        <v>99.753086875922776</v>
      </c>
      <c r="P104" s="338"/>
      <c r="Q104" s="338"/>
      <c r="R104" s="338"/>
      <c r="U104" s="654"/>
      <c r="V104" s="654"/>
      <c r="W104" s="654"/>
      <c r="X104" s="654"/>
      <c r="Y104" s="654"/>
      <c r="Z104" s="654"/>
      <c r="AA104" s="654"/>
      <c r="AB104" s="654"/>
      <c r="AC104" s="654"/>
      <c r="AD104" s="654"/>
    </row>
    <row r="105" spans="2:30" outlineLevel="1" x14ac:dyDescent="0.45">
      <c r="B105" s="338"/>
      <c r="C105" s="546"/>
      <c r="D105" s="452">
        <v>5.5E-2</v>
      </c>
      <c r="E105" s="457">
        <v>89.289591570037885</v>
      </c>
      <c r="F105" s="458">
        <v>90.609250188363561</v>
      </c>
      <c r="G105" s="458">
        <v>91.98389458245282</v>
      </c>
      <c r="H105" s="458">
        <v>93.417034482673529</v>
      </c>
      <c r="I105" s="459">
        <v>94.912484813338637</v>
      </c>
      <c r="J105" s="458">
        <v>96.474399603144406</v>
      </c>
      <c r="K105" s="458">
        <v>98.107310519759523</v>
      </c>
      <c r="L105" s="458">
        <v>99.816170781333483</v>
      </c>
      <c r="M105" s="459">
        <v>101.60640534107765</v>
      </c>
      <c r="N105" s="459">
        <v>103.48396841593126</v>
      </c>
      <c r="O105" s="459">
        <v>105.45540964452753</v>
      </c>
      <c r="P105" s="338"/>
      <c r="Q105" s="338"/>
      <c r="R105" s="338"/>
      <c r="U105" s="654"/>
      <c r="V105" s="654" t="s">
        <v>476</v>
      </c>
      <c r="W105" s="654"/>
      <c r="X105" s="654"/>
      <c r="Y105" s="654"/>
      <c r="Z105" s="654"/>
      <c r="AA105" s="654"/>
      <c r="AB105" s="654"/>
      <c r="AC105" s="654"/>
      <c r="AD105" s="654"/>
    </row>
    <row r="106" spans="2:30" outlineLevel="1" x14ac:dyDescent="0.45">
      <c r="B106" s="338"/>
      <c r="C106" s="546"/>
      <c r="D106" s="452">
        <v>5.2499999999999998E-2</v>
      </c>
      <c r="E106" s="457">
        <v>93.687486382056619</v>
      </c>
      <c r="F106" s="458">
        <v>95.148623325972537</v>
      </c>
      <c r="G106" s="458">
        <v>96.673287963102183</v>
      </c>
      <c r="H106" s="458">
        <v>98.265715472993151</v>
      </c>
      <c r="I106" s="459">
        <v>99.930526051515528</v>
      </c>
      <c r="J106" s="458">
        <v>101.67276968020175</v>
      </c>
      <c r="K106" s="458">
        <v>103.49797729120633</v>
      </c>
      <c r="L106" s="458">
        <v>105.41221941982093</v>
      </c>
      <c r="M106" s="459">
        <v>107.42217365486624</v>
      </c>
      <c r="N106" s="459">
        <v>109.53520246606769</v>
      </c>
      <c r="O106" s="459">
        <v>111.75944331996401</v>
      </c>
      <c r="P106" s="338"/>
      <c r="Q106" s="338"/>
      <c r="R106" s="338"/>
      <c r="U106" s="654"/>
      <c r="V106" s="654" t="s">
        <v>477</v>
      </c>
      <c r="W106" s="654"/>
      <c r="X106" s="654"/>
      <c r="Y106" s="654"/>
      <c r="Z106" s="654"/>
      <c r="AA106" s="654"/>
      <c r="AB106" s="654"/>
      <c r="AC106" s="654"/>
      <c r="AD106" s="654"/>
    </row>
    <row r="107" spans="2:30" outlineLevel="1" x14ac:dyDescent="0.45">
      <c r="B107" s="338"/>
      <c r="C107" s="546"/>
      <c r="D107" s="452">
        <v>4.9999999999999996E-2</v>
      </c>
      <c r="E107" s="457">
        <v>98.470374913631176</v>
      </c>
      <c r="F107" s="458">
        <v>100.09398592380511</v>
      </c>
      <c r="G107" s="458">
        <v>101.79139743444152</v>
      </c>
      <c r="H107" s="458">
        <v>103.56775831766564</v>
      </c>
      <c r="I107" s="459">
        <v>105.42870781437662</v>
      </c>
      <c r="J107" s="458">
        <v>107.38043533531744</v>
      </c>
      <c r="K107" s="458">
        <v>109.42974923230526</v>
      </c>
      <c r="L107" s="458">
        <v>111.58415614965146</v>
      </c>
      <c r="M107" s="459">
        <v>113.85195290475274</v>
      </c>
      <c r="N107" s="459">
        <v>116.24233326823781</v>
      </c>
      <c r="O107" s="459">
        <v>118.76551254080543</v>
      </c>
      <c r="P107" s="338"/>
      <c r="Q107" s="338"/>
      <c r="R107" s="338"/>
      <c r="U107" s="654"/>
      <c r="V107" s="654"/>
      <c r="W107" s="654"/>
      <c r="X107" s="654"/>
      <c r="Y107" s="654"/>
      <c r="Z107" s="654"/>
      <c r="AA107" s="654"/>
      <c r="AB107" s="654"/>
      <c r="AC107" s="654"/>
      <c r="AD107" s="654"/>
    </row>
    <row r="108" spans="2:30" outlineLevel="1" x14ac:dyDescent="0.45">
      <c r="B108" s="338"/>
      <c r="C108" s="546"/>
      <c r="D108" s="452">
        <v>4.7500000000000001E-2</v>
      </c>
      <c r="E108" s="457">
        <v>103.69081689106254</v>
      </c>
      <c r="F108" s="458">
        <v>105.50204685507265</v>
      </c>
      <c r="G108" s="458">
        <v>107.39952586498801</v>
      </c>
      <c r="H108" s="458">
        <v>109.38956482660652</v>
      </c>
      <c r="I108" s="459">
        <v>111.479105736306</v>
      </c>
      <c r="J108" s="458">
        <v>113.6758025900926</v>
      </c>
      <c r="K108" s="458">
        <v>115.98811506776273</v>
      </c>
      <c r="L108" s="458">
        <v>118.42541740909071</v>
      </c>
      <c r="M108" s="459">
        <v>120.99812543604803</v>
      </c>
      <c r="N108" s="459">
        <v>123.71784535026001</v>
      </c>
      <c r="O108" s="459">
        <v>126.59754878883743</v>
      </c>
      <c r="P108" s="338"/>
      <c r="Q108" s="338"/>
      <c r="R108" s="338"/>
      <c r="U108" s="654"/>
      <c r="V108" s="654" t="s">
        <v>478</v>
      </c>
      <c r="W108" s="654"/>
      <c r="X108" s="654"/>
      <c r="Y108" s="654"/>
      <c r="Z108" s="654"/>
      <c r="AA108" s="654"/>
      <c r="AB108" s="654"/>
      <c r="AC108" s="654"/>
      <c r="AD108" s="654"/>
    </row>
    <row r="109" spans="2:30" outlineLevel="1" x14ac:dyDescent="0.45">
      <c r="B109" s="338"/>
      <c r="C109" s="546"/>
      <c r="D109" s="452">
        <v>4.4999999999999998E-2</v>
      </c>
      <c r="E109" s="457">
        <v>109.41138495533301</v>
      </c>
      <c r="F109" s="458">
        <v>111.44058164626287</v>
      </c>
      <c r="G109" s="458">
        <v>113.57123817173925</v>
      </c>
      <c r="H109" s="458">
        <v>115.81115913441951</v>
      </c>
      <c r="I109" s="459">
        <v>118.168970674083</v>
      </c>
      <c r="J109" s="458">
        <v>120.65423148616068</v>
      </c>
      <c r="K109" s="458">
        <v>123.27756234335379</v>
      </c>
      <c r="L109" s="458">
        <v>126.05079782095798</v>
      </c>
      <c r="M109" s="459">
        <v>128.98716479724473</v>
      </c>
      <c r="N109" s="459">
        <v>132.10149340845797</v>
      </c>
      <c r="O109" s="459">
        <v>135.41046755787198</v>
      </c>
      <c r="P109" s="338"/>
      <c r="Q109" s="338"/>
      <c r="R109" s="338"/>
      <c r="U109" s="654"/>
      <c r="V109" s="654" t="s">
        <v>479</v>
      </c>
      <c r="W109" s="654"/>
      <c r="X109" s="654"/>
      <c r="Y109" s="654"/>
      <c r="Z109" s="654"/>
      <c r="AA109" s="654"/>
      <c r="AB109" s="654"/>
      <c r="AC109" s="654"/>
      <c r="AD109" s="654"/>
    </row>
    <row r="110" spans="2:30" outlineLevel="1" x14ac:dyDescent="0.45">
      <c r="B110" s="338"/>
      <c r="C110" s="546"/>
      <c r="D110" s="452">
        <v>4.2499999999999996E-2</v>
      </c>
      <c r="E110" s="457">
        <v>115.70716793423264</v>
      </c>
      <c r="F110" s="458">
        <v>117.99127012321878</v>
      </c>
      <c r="G110" s="458">
        <v>120.39558821688843</v>
      </c>
      <c r="H110" s="458">
        <v>122.92986945075641</v>
      </c>
      <c r="I110" s="459">
        <v>125.60494408650601</v>
      </c>
      <c r="J110" s="458">
        <v>128.43288013001268</v>
      </c>
      <c r="K110" s="458">
        <v>131.42716535254914</v>
      </c>
      <c r="L110" s="458">
        <v>134.60292240675452</v>
      </c>
      <c r="M110" s="459">
        <v>137.9771642768477</v>
      </c>
      <c r="N110" s="459">
        <v>141.56909917081785</v>
      </c>
      <c r="O110" s="459">
        <v>145.40049639105271</v>
      </c>
      <c r="P110" s="338"/>
      <c r="Q110" s="338"/>
      <c r="R110" s="338"/>
      <c r="U110" s="654"/>
      <c r="V110" s="654"/>
      <c r="W110" s="654"/>
      <c r="X110" s="654"/>
      <c r="Y110" s="654"/>
      <c r="Z110" s="654"/>
      <c r="AA110" s="654"/>
      <c r="AB110" s="654"/>
      <c r="AC110" s="654"/>
      <c r="AD110" s="654"/>
    </row>
    <row r="111" spans="2:30" outlineLevel="1" x14ac:dyDescent="0.45">
      <c r="B111" s="338"/>
      <c r="C111" s="547"/>
      <c r="D111" s="452">
        <v>3.9999999999999994E-2</v>
      </c>
      <c r="E111" s="457">
        <v>122.66906462283292</v>
      </c>
      <c r="F111" s="458">
        <v>125.25345437620278</v>
      </c>
      <c r="G111" s="458">
        <v>127.98142133809317</v>
      </c>
      <c r="H111" s="458">
        <v>130.86527212637728</v>
      </c>
      <c r="I111" s="459">
        <v>133.91876119632522</v>
      </c>
      <c r="J111" s="458">
        <v>137.15731020990631</v>
      </c>
      <c r="K111" s="458">
        <v>140.5982685368362</v>
      </c>
      <c r="L111" s="458">
        <v>144.26122417518096</v>
      </c>
      <c r="M111" s="459">
        <v>148.16837685608203</v>
      </c>
      <c r="N111" s="459">
        <v>152.34498834256252</v>
      </c>
      <c r="O111" s="459">
        <v>156.81992922093443</v>
      </c>
      <c r="P111" s="338"/>
      <c r="Q111" s="338"/>
      <c r="R111" s="338"/>
      <c r="U111" s="654"/>
      <c r="V111" s="654" t="s">
        <v>480</v>
      </c>
      <c r="W111" s="654"/>
      <c r="X111" s="654"/>
      <c r="Y111" s="654"/>
      <c r="Z111" s="654"/>
      <c r="AA111" s="654"/>
      <c r="AB111" s="654"/>
      <c r="AC111" s="654"/>
      <c r="AD111" s="654"/>
    </row>
    <row r="112" spans="2:30" outlineLevel="1" x14ac:dyDescent="0.45">
      <c r="B112" s="338"/>
      <c r="C112" s="5"/>
      <c r="F112" s="338"/>
      <c r="G112" s="338"/>
      <c r="H112" s="338"/>
      <c r="I112" s="338"/>
      <c r="J112" s="338"/>
      <c r="K112" s="338"/>
      <c r="L112" s="338"/>
      <c r="M112" s="338"/>
      <c r="N112" s="338"/>
      <c r="O112" s="338"/>
      <c r="P112" s="338"/>
      <c r="Q112" s="338"/>
      <c r="R112" s="338"/>
      <c r="U112" s="654"/>
      <c r="V112" s="6" t="s">
        <v>481</v>
      </c>
      <c r="W112" s="654"/>
      <c r="X112" s="654"/>
      <c r="Y112" s="654"/>
      <c r="Z112" s="654"/>
      <c r="AA112" s="654"/>
      <c r="AB112" s="654"/>
      <c r="AC112" s="654"/>
      <c r="AD112" s="654"/>
    </row>
    <row r="113" spans="2:30" outlineLevel="1" x14ac:dyDescent="0.45">
      <c r="B113" s="338"/>
      <c r="C113" s="6" t="s">
        <v>351</v>
      </c>
      <c r="F113" s="338"/>
      <c r="G113" s="338"/>
      <c r="H113" s="338"/>
      <c r="I113" s="338"/>
      <c r="J113" s="338"/>
      <c r="K113" s="338"/>
      <c r="L113" s="338"/>
      <c r="M113" s="338"/>
      <c r="N113" s="338"/>
      <c r="O113" s="338"/>
      <c r="P113" s="338"/>
      <c r="Q113" s="338"/>
      <c r="R113" s="338"/>
      <c r="U113" s="654"/>
      <c r="V113" s="654"/>
      <c r="W113" s="654"/>
      <c r="X113" s="654"/>
      <c r="Y113" s="654"/>
      <c r="Z113" s="654"/>
      <c r="AA113" s="654"/>
      <c r="AB113" s="654"/>
      <c r="AC113" s="654"/>
      <c r="AD113" s="654"/>
    </row>
    <row r="114" spans="2:30" outlineLevel="1" x14ac:dyDescent="0.45">
      <c r="B114" s="338"/>
      <c r="C114" s="5"/>
      <c r="F114" s="338"/>
      <c r="G114" s="338"/>
      <c r="H114" s="338"/>
      <c r="I114" s="338"/>
      <c r="J114" s="338"/>
      <c r="K114" s="338"/>
      <c r="L114" s="338"/>
      <c r="M114" s="338"/>
      <c r="N114" s="338"/>
      <c r="O114" s="338"/>
      <c r="P114" s="338"/>
      <c r="Q114" s="338"/>
      <c r="R114" s="338"/>
      <c r="U114" s="587" t="s">
        <v>491</v>
      </c>
      <c r="V114" s="655"/>
      <c r="W114" s="655"/>
      <c r="X114" s="655"/>
      <c r="Y114" s="655"/>
      <c r="Z114" s="655"/>
      <c r="AA114" s="655"/>
      <c r="AB114" s="655"/>
      <c r="AC114" s="655"/>
      <c r="AD114" s="655"/>
    </row>
    <row r="115" spans="2:30" outlineLevel="1" x14ac:dyDescent="0.45">
      <c r="B115" s="338"/>
      <c r="C115" s="445"/>
      <c r="D115" s="446"/>
      <c r="E115" s="447" t="s">
        <v>352</v>
      </c>
      <c r="F115" s="447"/>
      <c r="G115" s="447"/>
      <c r="H115" s="447"/>
      <c r="I115" s="447"/>
      <c r="J115" s="447"/>
      <c r="K115" s="447"/>
      <c r="L115" s="447"/>
      <c r="M115" s="448"/>
      <c r="N115" s="448"/>
      <c r="O115" s="448"/>
      <c r="P115" s="338"/>
      <c r="Q115" s="338"/>
      <c r="R115" s="338"/>
      <c r="U115" s="654"/>
      <c r="V115" s="654"/>
      <c r="W115" s="654"/>
      <c r="X115" s="654"/>
      <c r="Y115" s="654"/>
      <c r="Z115" s="654"/>
      <c r="AA115" s="654"/>
      <c r="AB115" s="654"/>
      <c r="AC115" s="654"/>
      <c r="AD115" s="654"/>
    </row>
    <row r="116" spans="2:30" outlineLevel="1" x14ac:dyDescent="0.45">
      <c r="B116" s="338"/>
      <c r="C116" s="449"/>
      <c r="D116" s="450">
        <f>$I$39</f>
        <v>111.86820608387424</v>
      </c>
      <c r="E116" s="460">
        <v>6.9</v>
      </c>
      <c r="F116" s="460">
        <v>7.3000000000000007</v>
      </c>
      <c r="G116" s="460">
        <v>7.7</v>
      </c>
      <c r="H116" s="460">
        <v>8.1000000000000014</v>
      </c>
      <c r="I116" s="460">
        <v>8.5</v>
      </c>
      <c r="J116" s="460">
        <v>8.9</v>
      </c>
      <c r="K116" s="460">
        <v>9.3000000000000007</v>
      </c>
      <c r="L116" s="460">
        <v>9.7000000000000011</v>
      </c>
      <c r="M116" s="460">
        <v>10.100000000000001</v>
      </c>
      <c r="N116" s="460">
        <v>10.5</v>
      </c>
      <c r="O116" s="460">
        <v>10.9</v>
      </c>
      <c r="P116" s="338"/>
      <c r="Q116" s="338"/>
      <c r="R116" s="338"/>
      <c r="U116" s="654"/>
      <c r="V116" s="654" t="s">
        <v>492</v>
      </c>
    </row>
    <row r="117" spans="2:30" outlineLevel="1" x14ac:dyDescent="0.45">
      <c r="B117" s="338"/>
      <c r="C117" s="545" t="str">
        <f>+C103</f>
        <v>Discount Rate (WACC):</v>
      </c>
      <c r="D117" s="452">
        <v>0.06</v>
      </c>
      <c r="E117" s="453">
        <f t="dataTable" ref="E117:O125" dt2D="1" dtr="1" r1="I12" r2="D8"/>
        <v>82.219769035626655</v>
      </c>
      <c r="F117" s="454">
        <v>85.389774840669546</v>
      </c>
      <c r="G117" s="454">
        <v>88.559780645712436</v>
      </c>
      <c r="H117" s="454">
        <v>91.729786450755341</v>
      </c>
      <c r="I117" s="455">
        <v>94.899792255798246</v>
      </c>
      <c r="J117" s="454">
        <v>98.069798060841151</v>
      </c>
      <c r="K117" s="454">
        <v>101.23980386588403</v>
      </c>
      <c r="L117" s="454">
        <v>104.40980967092693</v>
      </c>
      <c r="M117" s="456">
        <v>107.57981547596985</v>
      </c>
      <c r="N117" s="456">
        <v>110.74982128101273</v>
      </c>
      <c r="O117" s="456">
        <v>113.91982708605563</v>
      </c>
      <c r="P117" s="338"/>
      <c r="Q117" s="338"/>
      <c r="R117" s="338"/>
      <c r="U117" s="654"/>
      <c r="V117" s="654" t="s">
        <v>493</v>
      </c>
    </row>
    <row r="118" spans="2:30" outlineLevel="1" x14ac:dyDescent="0.45">
      <c r="B118" s="338"/>
      <c r="C118" s="546"/>
      <c r="D118" s="452">
        <v>5.7499999999999996E-2</v>
      </c>
      <c r="E118" s="457">
        <v>83.936771849339834</v>
      </c>
      <c r="F118" s="458">
        <v>87.17987636702847</v>
      </c>
      <c r="G118" s="458">
        <v>90.422980884717091</v>
      </c>
      <c r="H118" s="458">
        <v>93.666085402405727</v>
      </c>
      <c r="I118" s="459">
        <v>96.909189920094377</v>
      </c>
      <c r="J118" s="458">
        <v>100.15229443778301</v>
      </c>
      <c r="K118" s="458">
        <v>103.39539895547166</v>
      </c>
      <c r="L118" s="458">
        <v>106.63850347316028</v>
      </c>
      <c r="M118" s="459">
        <v>109.88160799084895</v>
      </c>
      <c r="N118" s="459">
        <v>113.12471250853754</v>
      </c>
      <c r="O118" s="459">
        <v>116.36781702622619</v>
      </c>
      <c r="P118" s="338"/>
      <c r="Q118" s="338"/>
      <c r="R118" s="338"/>
      <c r="U118" s="654"/>
    </row>
    <row r="119" spans="2:30" outlineLevel="1" x14ac:dyDescent="0.45">
      <c r="B119" s="338"/>
      <c r="C119" s="546"/>
      <c r="D119" s="452">
        <v>5.5E-2</v>
      </c>
      <c r="E119" s="457">
        <v>85.69375284628525</v>
      </c>
      <c r="F119" s="458">
        <v>89.011820730187452</v>
      </c>
      <c r="G119" s="458">
        <v>92.32988861408964</v>
      </c>
      <c r="H119" s="458">
        <v>95.647956497991814</v>
      </c>
      <c r="I119" s="459">
        <v>98.966024381894016</v>
      </c>
      <c r="J119" s="458">
        <v>102.28409226579622</v>
      </c>
      <c r="K119" s="458">
        <v>105.60216014969842</v>
      </c>
      <c r="L119" s="458">
        <v>108.92022803360059</v>
      </c>
      <c r="M119" s="459">
        <v>112.2382959175028</v>
      </c>
      <c r="N119" s="459">
        <v>115.55636380140498</v>
      </c>
      <c r="O119" s="459">
        <v>118.87443168530719</v>
      </c>
      <c r="P119" s="338"/>
      <c r="Q119" s="338"/>
      <c r="R119" s="338"/>
      <c r="U119" s="654"/>
      <c r="V119" s="6" t="s">
        <v>482</v>
      </c>
    </row>
    <row r="120" spans="2:30" outlineLevel="1" x14ac:dyDescent="0.45">
      <c r="B120" s="338"/>
      <c r="C120" s="546"/>
      <c r="D120" s="452">
        <v>5.2499999999999998E-2</v>
      </c>
      <c r="E120" s="457">
        <v>87.491779240427547</v>
      </c>
      <c r="F120" s="458">
        <v>90.886727297834142</v>
      </c>
      <c r="G120" s="458">
        <v>94.281675355240793</v>
      </c>
      <c r="H120" s="458">
        <v>97.676623412647402</v>
      </c>
      <c r="I120" s="459">
        <v>101.07157147005402</v>
      </c>
      <c r="J120" s="458">
        <v>104.46651952746065</v>
      </c>
      <c r="K120" s="458">
        <v>107.86146758486727</v>
      </c>
      <c r="L120" s="458">
        <v>111.25641564227389</v>
      </c>
      <c r="M120" s="459">
        <v>114.65136369968054</v>
      </c>
      <c r="N120" s="459">
        <v>118.04631175708715</v>
      </c>
      <c r="O120" s="459">
        <v>121.44125981449375</v>
      </c>
      <c r="P120" s="338"/>
      <c r="Q120" s="338"/>
      <c r="R120" s="338"/>
      <c r="U120" s="654"/>
      <c r="V120" s="654"/>
      <c r="W120" s="654"/>
      <c r="X120" s="654"/>
      <c r="Y120" s="654"/>
      <c r="Z120" s="654"/>
      <c r="AA120" s="654"/>
      <c r="AB120" s="654"/>
      <c r="AC120" s="654"/>
      <c r="AD120" s="654"/>
    </row>
    <row r="121" spans="2:30" outlineLevel="1" x14ac:dyDescent="0.45">
      <c r="B121" s="338"/>
      <c r="C121" s="546"/>
      <c r="D121" s="452">
        <v>4.9999999999999996E-2</v>
      </c>
      <c r="E121" s="457">
        <v>89.33194982202312</v>
      </c>
      <c r="F121" s="458">
        <v>92.805748601634178</v>
      </c>
      <c r="G121" s="458">
        <v>96.279547381245237</v>
      </c>
      <c r="H121" s="458">
        <v>99.753346160856296</v>
      </c>
      <c r="I121" s="459">
        <v>103.22714494046735</v>
      </c>
      <c r="J121" s="458">
        <v>106.70094372007841</v>
      </c>
      <c r="K121" s="458">
        <v>110.17474249968947</v>
      </c>
      <c r="L121" s="458">
        <v>113.64854127930055</v>
      </c>
      <c r="M121" s="459">
        <v>117.1223400589116</v>
      </c>
      <c r="N121" s="459">
        <v>120.59613883852266</v>
      </c>
      <c r="O121" s="459">
        <v>124.06993761813372</v>
      </c>
      <c r="P121" s="338"/>
      <c r="Q121" s="338"/>
      <c r="R121" s="338"/>
      <c r="V121" s="654" t="s">
        <v>501</v>
      </c>
    </row>
    <row r="122" spans="2:30" outlineLevel="1" x14ac:dyDescent="0.45">
      <c r="B122" s="338"/>
      <c r="C122" s="546"/>
      <c r="D122" s="452">
        <v>4.7500000000000001E-2</v>
      </c>
      <c r="E122" s="457">
        <v>91.215395977497522</v>
      </c>
      <c r="F122" s="458">
        <v>94.770071409386134</v>
      </c>
      <c r="G122" s="458">
        <v>98.324746841274717</v>
      </c>
      <c r="H122" s="458">
        <v>101.87942227316331</v>
      </c>
      <c r="I122" s="459">
        <v>105.43409770505193</v>
      </c>
      <c r="J122" s="458">
        <v>108.98877313694054</v>
      </c>
      <c r="K122" s="458">
        <v>112.54344856882912</v>
      </c>
      <c r="L122" s="458">
        <v>116.09812400071772</v>
      </c>
      <c r="M122" s="459">
        <v>119.65279943260633</v>
      </c>
      <c r="N122" s="459">
        <v>123.20747486449493</v>
      </c>
      <c r="O122" s="459">
        <v>126.76215029638354</v>
      </c>
      <c r="P122" s="338"/>
      <c r="Q122" s="338"/>
      <c r="R122" s="338"/>
      <c r="V122" s="654" t="s">
        <v>502</v>
      </c>
    </row>
    <row r="123" spans="2:30" outlineLevel="1" x14ac:dyDescent="0.45">
      <c r="B123" s="338"/>
      <c r="C123" s="546"/>
      <c r="D123" s="452">
        <v>4.4999999999999998E-2</v>
      </c>
      <c r="E123" s="457">
        <v>93.143282744951009</v>
      </c>
      <c r="F123" s="458">
        <v>96.780917834657103</v>
      </c>
      <c r="G123" s="458">
        <v>100.41855292436321</v>
      </c>
      <c r="H123" s="458">
        <v>104.05618801406931</v>
      </c>
      <c r="I123" s="459">
        <v>107.6938231037754</v>
      </c>
      <c r="J123" s="458">
        <v>111.33145819348151</v>
      </c>
      <c r="K123" s="458">
        <v>114.96909328318762</v>
      </c>
      <c r="L123" s="458">
        <v>118.60672837289371</v>
      </c>
      <c r="M123" s="459">
        <v>122.24436346259985</v>
      </c>
      <c r="N123" s="459">
        <v>125.88199855230592</v>
      </c>
      <c r="O123" s="459">
        <v>129.51963364201202</v>
      </c>
      <c r="P123" s="338"/>
      <c r="Q123" s="338"/>
      <c r="R123" s="338"/>
    </row>
    <row r="124" spans="2:30" outlineLevel="1" x14ac:dyDescent="0.45">
      <c r="C124" s="546"/>
      <c r="D124" s="452">
        <v>4.2499999999999996E-2</v>
      </c>
      <c r="E124" s="457">
        <v>95.116809906628106</v>
      </c>
      <c r="F124" s="458">
        <v>98.839546485304169</v>
      </c>
      <c r="G124" s="458">
        <v>102.56228306398026</v>
      </c>
      <c r="H124" s="458">
        <v>106.28501964265632</v>
      </c>
      <c r="I124" s="459">
        <v>110.00775622133241</v>
      </c>
      <c r="J124" s="458">
        <v>113.73049280000848</v>
      </c>
      <c r="K124" s="458">
        <v>117.45322937868454</v>
      </c>
      <c r="L124" s="458">
        <v>121.1759659573606</v>
      </c>
      <c r="M124" s="459">
        <v>124.89870253603671</v>
      </c>
      <c r="N124" s="459">
        <v>128.62143911471279</v>
      </c>
      <c r="O124" s="459">
        <v>132.34417569338885</v>
      </c>
      <c r="V124" s="654" t="s">
        <v>494</v>
      </c>
    </row>
    <row r="125" spans="2:30" outlineLevel="1" x14ac:dyDescent="0.45">
      <c r="C125" s="547"/>
      <c r="D125" s="452">
        <v>3.9999999999999994E-2</v>
      </c>
      <c r="E125" s="457">
        <v>97.137213119745169</v>
      </c>
      <c r="F125" s="458">
        <v>100.94725365234902</v>
      </c>
      <c r="G125" s="458">
        <v>104.75729418495285</v>
      </c>
      <c r="H125" s="458">
        <v>108.56733471755668</v>
      </c>
      <c r="I125" s="459">
        <v>112.37737525016054</v>
      </c>
      <c r="J125" s="458">
        <v>116.18741578276436</v>
      </c>
      <c r="K125" s="458">
        <v>119.9974563153682</v>
      </c>
      <c r="L125" s="458">
        <v>123.80749684797203</v>
      </c>
      <c r="M125" s="459">
        <v>127.6175373805759</v>
      </c>
      <c r="N125" s="459">
        <v>131.42757791317973</v>
      </c>
      <c r="O125" s="459">
        <v>135.23761844578354</v>
      </c>
    </row>
    <row r="126" spans="2:30" outlineLevel="1" x14ac:dyDescent="0.45">
      <c r="V126" s="654" t="s">
        <v>495</v>
      </c>
    </row>
    <row r="127" spans="2:30" outlineLevel="1" x14ac:dyDescent="0.45">
      <c r="C127" s="6" t="s">
        <v>418</v>
      </c>
      <c r="F127" s="338"/>
      <c r="G127" s="338"/>
      <c r="H127" s="338"/>
      <c r="I127" s="338"/>
      <c r="J127" s="338"/>
      <c r="K127" s="338"/>
      <c r="L127" s="338"/>
      <c r="M127" s="338"/>
      <c r="N127" s="338"/>
      <c r="O127" s="338"/>
      <c r="V127" s="654" t="s">
        <v>496</v>
      </c>
    </row>
    <row r="128" spans="2:30" outlineLevel="1" x14ac:dyDescent="0.45">
      <c r="C128" s="5"/>
      <c r="F128" s="338"/>
      <c r="G128" s="338"/>
      <c r="H128" s="338"/>
      <c r="I128" s="338"/>
      <c r="J128" s="338"/>
      <c r="K128" s="338"/>
      <c r="L128" s="338"/>
      <c r="M128" s="338"/>
      <c r="N128" s="338"/>
      <c r="O128" s="338"/>
    </row>
    <row r="129" spans="3:31" outlineLevel="1" x14ac:dyDescent="0.45">
      <c r="C129" s="445"/>
      <c r="D129" s="446"/>
      <c r="E129" s="447" t="s">
        <v>419</v>
      </c>
      <c r="F129" s="447"/>
      <c r="G129" s="448"/>
      <c r="H129" s="396"/>
      <c r="I129" s="396"/>
      <c r="J129" s="396"/>
      <c r="K129" s="396"/>
      <c r="L129" s="396"/>
      <c r="M129" s="396"/>
      <c r="N129" s="396"/>
      <c r="O129" s="396"/>
      <c r="V129" s="654" t="s">
        <v>497</v>
      </c>
    </row>
    <row r="130" spans="3:31" outlineLevel="1" x14ac:dyDescent="0.45">
      <c r="C130" s="449"/>
      <c r="D130" s="450">
        <f>$N$39</f>
        <v>111.86820608387424</v>
      </c>
      <c r="E130" s="460" t="s">
        <v>174</v>
      </c>
      <c r="F130" s="460" t="s">
        <v>172</v>
      </c>
      <c r="G130" s="550" t="s">
        <v>173</v>
      </c>
      <c r="H130" s="544"/>
      <c r="I130" s="544"/>
      <c r="J130" s="544"/>
      <c r="K130" s="544"/>
      <c r="L130" s="544"/>
      <c r="M130" s="544"/>
      <c r="N130" s="544"/>
      <c r="O130" s="544"/>
      <c r="V130" s="654" t="s">
        <v>498</v>
      </c>
    </row>
    <row r="131" spans="3:31" outlineLevel="1" x14ac:dyDescent="0.45">
      <c r="C131" s="545" t="str">
        <f>+C117</f>
        <v>Discount Rate (WACC):</v>
      </c>
      <c r="D131" s="452">
        <v>0.06</v>
      </c>
      <c r="E131" s="453">
        <f t="dataTable" ref="E131:G139" dt2D="1" dtr="1" r1="D10" r2="D8" ca="1"/>
        <v>58.444143264003429</v>
      </c>
      <c r="F131" s="454">
        <v>90.913407111583723</v>
      </c>
      <c r="G131" s="454">
        <v>120.50903052486804</v>
      </c>
      <c r="H131" s="549"/>
      <c r="I131" s="456"/>
      <c r="J131" s="549"/>
      <c r="K131" s="549"/>
      <c r="L131" s="549"/>
      <c r="M131" s="456"/>
      <c r="N131" s="456"/>
      <c r="O131" s="456"/>
    </row>
    <row r="132" spans="3:31" outlineLevel="1" x14ac:dyDescent="0.45">
      <c r="C132" s="546"/>
      <c r="D132" s="452">
        <v>5.7499999999999996E-2</v>
      </c>
      <c r="E132" s="457">
        <v>61.254409216753785</v>
      </c>
      <c r="F132" s="458">
        <v>95.671545374552721</v>
      </c>
      <c r="G132" s="458">
        <v>127.06142867356435</v>
      </c>
      <c r="H132" s="458"/>
      <c r="I132" s="459"/>
      <c r="J132" s="458"/>
      <c r="K132" s="458"/>
      <c r="L132" s="458"/>
      <c r="M132" s="459"/>
      <c r="N132" s="459"/>
      <c r="O132" s="459"/>
      <c r="V132" s="6" t="s">
        <v>499</v>
      </c>
      <c r="W132" s="654"/>
      <c r="X132" s="654"/>
      <c r="Y132" s="654"/>
      <c r="Z132" s="654"/>
      <c r="AA132" s="654"/>
      <c r="AB132" s="654"/>
      <c r="AC132" s="654"/>
      <c r="AD132" s="654"/>
    </row>
    <row r="133" spans="3:31" outlineLevel="1" x14ac:dyDescent="0.45">
      <c r="C133" s="546"/>
      <c r="D133" s="452">
        <v>5.5E-2</v>
      </c>
      <c r="E133" s="457">
        <v>64.290295185340952</v>
      </c>
      <c r="F133" s="458">
        <v>100.88017811401161</v>
      </c>
      <c r="G133" s="458">
        <v>134.27250044737656</v>
      </c>
      <c r="H133" s="458"/>
      <c r="I133" s="459"/>
      <c r="J133" s="458"/>
      <c r="K133" s="458"/>
      <c r="L133" s="458"/>
      <c r="M133" s="459"/>
      <c r="N133" s="459"/>
      <c r="O133" s="459"/>
      <c r="V133" s="654" t="s">
        <v>500</v>
      </c>
      <c r="W133" s="654"/>
      <c r="X133" s="654"/>
      <c r="Y133" s="654"/>
      <c r="Z133" s="654"/>
      <c r="AA133" s="654"/>
      <c r="AB133" s="654"/>
      <c r="AC133" s="654"/>
      <c r="AD133" s="654"/>
    </row>
    <row r="134" spans="3:31" outlineLevel="1" x14ac:dyDescent="0.45">
      <c r="C134" s="546"/>
      <c r="D134" s="452">
        <v>5.2499999999999998E-2</v>
      </c>
      <c r="E134" s="457">
        <v>67.580025599800649</v>
      </c>
      <c r="F134" s="458">
        <v>106.60625163865971</v>
      </c>
      <c r="G134" s="458">
        <v>142.2463224699965</v>
      </c>
      <c r="H134" s="458"/>
      <c r="I134" s="459"/>
      <c r="J134" s="458"/>
      <c r="K134" s="458"/>
      <c r="L134" s="458"/>
      <c r="M134" s="459"/>
      <c r="N134" s="459"/>
      <c r="O134" s="459"/>
      <c r="U134" s="654"/>
    </row>
    <row r="135" spans="3:31" outlineLevel="1" x14ac:dyDescent="0.45">
      <c r="C135" s="546"/>
      <c r="D135" s="452">
        <v>4.9999999999999996E-2</v>
      </c>
      <c r="E135" s="457">
        <v>71.156734070319885</v>
      </c>
      <c r="F135" s="458">
        <v>112.93066047299283</v>
      </c>
      <c r="G135" s="458">
        <v>151.11010133848882</v>
      </c>
      <c r="H135" s="458"/>
      <c r="I135" s="459"/>
      <c r="J135" s="458"/>
      <c r="K135" s="458"/>
      <c r="L135" s="458"/>
      <c r="M135" s="459"/>
      <c r="N135" s="459"/>
      <c r="O135" s="459"/>
      <c r="U135" s="654"/>
      <c r="V135" s="6" t="s">
        <v>503</v>
      </c>
    </row>
    <row r="136" spans="3:31" outlineLevel="1" x14ac:dyDescent="0.45">
      <c r="C136" s="546"/>
      <c r="D136" s="452">
        <v>4.7500000000000001E-2</v>
      </c>
      <c r="E136" s="457">
        <v>75.059579126875903</v>
      </c>
      <c r="F136" s="458">
        <v>119.95207931519724</v>
      </c>
      <c r="G136" s="458">
        <v>161.02097660674985</v>
      </c>
      <c r="H136" s="458"/>
      <c r="I136" s="459"/>
      <c r="J136" s="458"/>
      <c r="K136" s="458"/>
      <c r="L136" s="458"/>
      <c r="M136" s="459"/>
      <c r="N136" s="459"/>
      <c r="O136" s="459"/>
      <c r="U136" s="654"/>
      <c r="V136" s="654" t="s">
        <v>504</v>
      </c>
    </row>
    <row r="137" spans="3:31" outlineLevel="1" x14ac:dyDescent="0.45">
      <c r="C137" s="546"/>
      <c r="D137" s="452">
        <v>4.4999999999999998E-2</v>
      </c>
      <c r="E137" s="457">
        <v>79.335178742163947</v>
      </c>
      <c r="F137" s="458">
        <v>127.79213172550013</v>
      </c>
      <c r="G137" s="458">
        <v>172.175374889289</v>
      </c>
      <c r="H137" s="458"/>
      <c r="I137" s="459"/>
      <c r="J137" s="458"/>
      <c r="K137" s="458"/>
      <c r="L137" s="458"/>
      <c r="M137" s="459"/>
      <c r="N137" s="459"/>
      <c r="O137" s="459"/>
      <c r="U137" s="654"/>
      <c r="V137" s="654"/>
      <c r="W137" s="654"/>
      <c r="X137" s="654"/>
      <c r="Y137" s="654"/>
      <c r="Z137" s="654"/>
      <c r="AA137" s="654"/>
      <c r="AB137" s="654"/>
      <c r="AC137" s="654"/>
      <c r="AD137" s="654"/>
    </row>
    <row r="138" spans="3:31" outlineLevel="1" x14ac:dyDescent="0.45">
      <c r="C138" s="546"/>
      <c r="D138" s="452">
        <v>4.2499999999999996E-2</v>
      </c>
      <c r="E138" s="457">
        <v>84.039475211981141</v>
      </c>
      <c r="F138" s="458">
        <v>136.60247314458755</v>
      </c>
      <c r="G138" s="458">
        <v>184.8221056081953</v>
      </c>
      <c r="H138" s="458"/>
      <c r="I138" s="459"/>
      <c r="J138" s="458"/>
      <c r="K138" s="458"/>
      <c r="L138" s="458"/>
      <c r="M138" s="459"/>
      <c r="N138" s="459"/>
      <c r="O138" s="459"/>
      <c r="V138" s="654" t="s">
        <v>505</v>
      </c>
      <c r="W138" s="654" t="s">
        <v>506</v>
      </c>
    </row>
    <row r="139" spans="3:31" outlineLevel="1" x14ac:dyDescent="0.45">
      <c r="C139" s="547"/>
      <c r="D139" s="452">
        <v>3.9999999999999994E-2</v>
      </c>
      <c r="E139" s="457">
        <v>89.240188945836607</v>
      </c>
      <c r="F139" s="458">
        <v>146.574669841504</v>
      </c>
      <c r="G139" s="458">
        <v>199.2810692049477</v>
      </c>
      <c r="H139" s="458"/>
      <c r="I139" s="459"/>
      <c r="J139" s="458"/>
      <c r="K139" s="458"/>
      <c r="L139" s="458"/>
      <c r="M139" s="459"/>
      <c r="N139" s="459"/>
      <c r="O139" s="459"/>
      <c r="V139" s="654"/>
      <c r="W139" s="654"/>
      <c r="X139" s="654"/>
      <c r="Y139" s="654"/>
      <c r="Z139" s="654"/>
      <c r="AA139" s="654"/>
      <c r="AB139" s="654"/>
      <c r="AC139" s="654"/>
      <c r="AD139" s="654"/>
    </row>
    <row r="140" spans="3:31" x14ac:dyDescent="0.45">
      <c r="V140" s="654"/>
      <c r="W140" s="654" t="s">
        <v>507</v>
      </c>
      <c r="X140" s="654"/>
      <c r="Y140" s="654"/>
      <c r="Z140" s="654"/>
      <c r="AA140" s="654"/>
      <c r="AB140" s="654"/>
      <c r="AC140" s="654"/>
      <c r="AD140" s="654"/>
    </row>
    <row r="141" spans="3:31" x14ac:dyDescent="0.45">
      <c r="V141" s="654"/>
      <c r="W141" s="654"/>
      <c r="X141" s="654"/>
      <c r="Y141" s="654"/>
      <c r="Z141" s="654"/>
      <c r="AA141" s="654"/>
      <c r="AB141" s="654"/>
      <c r="AC141" s="654"/>
      <c r="AD141" s="654"/>
    </row>
    <row r="142" spans="3:31" x14ac:dyDescent="0.45">
      <c r="V142" s="6" t="s">
        <v>508</v>
      </c>
    </row>
    <row r="143" spans="3:31" x14ac:dyDescent="0.45">
      <c r="V143" s="654" t="s">
        <v>509</v>
      </c>
    </row>
    <row r="144" spans="3:31" x14ac:dyDescent="0.45">
      <c r="U144" s="654"/>
      <c r="V144" s="654"/>
      <c r="W144" s="654"/>
      <c r="X144" s="654"/>
      <c r="Y144" s="654"/>
      <c r="Z144" s="654"/>
      <c r="AA144" s="654"/>
      <c r="AB144" s="654"/>
      <c r="AC144" s="654"/>
      <c r="AD144" s="654"/>
      <c r="AE144" s="654"/>
    </row>
    <row r="145" spans="21:31" x14ac:dyDescent="0.45">
      <c r="U145" s="654"/>
      <c r="V145" s="6" t="s">
        <v>523</v>
      </c>
      <c r="W145" s="654"/>
      <c r="X145" s="654"/>
      <c r="Y145" s="654"/>
      <c r="Z145" s="654"/>
      <c r="AA145" s="654"/>
      <c r="AB145" s="654"/>
      <c r="AC145" s="654"/>
      <c r="AD145" s="654"/>
      <c r="AE145" s="654"/>
    </row>
    <row r="146" spans="21:31" x14ac:dyDescent="0.45">
      <c r="U146" s="654"/>
      <c r="V146" s="654" t="s">
        <v>524</v>
      </c>
      <c r="W146" s="654"/>
      <c r="X146" s="654"/>
      <c r="Y146" s="654"/>
      <c r="Z146" s="654"/>
      <c r="AA146" s="654"/>
      <c r="AB146" s="654"/>
      <c r="AC146" s="654"/>
      <c r="AD146" s="654"/>
      <c r="AE146" s="654"/>
    </row>
    <row r="147" spans="21:31" x14ac:dyDescent="0.45">
      <c r="U147" s="654"/>
      <c r="V147" s="654"/>
      <c r="W147" s="654"/>
      <c r="X147" s="654"/>
      <c r="Y147" s="654"/>
      <c r="Z147" s="654"/>
      <c r="AA147" s="654"/>
      <c r="AB147" s="654"/>
      <c r="AC147" s="654"/>
      <c r="AD147" s="654"/>
      <c r="AE147" s="654"/>
    </row>
    <row r="148" spans="21:31" x14ac:dyDescent="0.45">
      <c r="U148" s="654"/>
      <c r="V148" s="6" t="s">
        <v>510</v>
      </c>
      <c r="W148" s="654"/>
      <c r="X148" s="654"/>
      <c r="Y148" s="654"/>
      <c r="Z148" s="654"/>
      <c r="AA148" s="654"/>
      <c r="AB148" s="654"/>
      <c r="AC148" s="654"/>
      <c r="AD148" s="654"/>
    </row>
    <row r="149" spans="21:31" x14ac:dyDescent="0.45">
      <c r="U149" s="654"/>
      <c r="V149" s="654" t="s">
        <v>511</v>
      </c>
      <c r="W149" s="654"/>
      <c r="X149" s="654"/>
      <c r="Y149" s="654"/>
      <c r="Z149" s="654"/>
      <c r="AA149" s="654"/>
      <c r="AB149" s="654"/>
      <c r="AC149" s="654"/>
      <c r="AD149" s="654"/>
    </row>
    <row r="150" spans="21:31" x14ac:dyDescent="0.45">
      <c r="U150" s="654"/>
      <c r="V150" s="654"/>
      <c r="W150" s="654"/>
      <c r="X150" s="654"/>
      <c r="Y150" s="654"/>
      <c r="Z150" s="654"/>
      <c r="AA150" s="654"/>
      <c r="AB150" s="654"/>
      <c r="AC150" s="654"/>
      <c r="AD150" s="654"/>
    </row>
    <row r="151" spans="21:31" x14ac:dyDescent="0.45">
      <c r="U151" s="654"/>
      <c r="V151" s="654" t="s">
        <v>512</v>
      </c>
      <c r="W151" s="654" t="s">
        <v>513</v>
      </c>
      <c r="X151" s="654"/>
      <c r="Y151" s="654"/>
      <c r="Z151" s="654"/>
      <c r="AA151" s="654"/>
      <c r="AB151" s="654"/>
      <c r="AC151" s="654"/>
      <c r="AD151" s="654"/>
    </row>
    <row r="152" spans="21:31" x14ac:dyDescent="0.45">
      <c r="U152" s="654"/>
      <c r="V152" s="654"/>
      <c r="W152" s="654" t="s">
        <v>514</v>
      </c>
      <c r="X152" s="654"/>
      <c r="Y152" s="654"/>
      <c r="Z152" s="654"/>
      <c r="AA152" s="654"/>
      <c r="AB152" s="654"/>
      <c r="AC152" s="654"/>
      <c r="AD152" s="654"/>
    </row>
    <row r="153" spans="21:31" x14ac:dyDescent="0.45">
      <c r="U153" s="654"/>
      <c r="V153" s="654"/>
      <c r="W153" s="654"/>
      <c r="X153" s="654"/>
      <c r="Y153" s="654"/>
      <c r="Z153" s="654"/>
      <c r="AA153" s="654"/>
      <c r="AB153" s="654"/>
      <c r="AC153" s="654"/>
      <c r="AD153" s="654"/>
    </row>
    <row r="154" spans="21:31" x14ac:dyDescent="0.45">
      <c r="U154" s="654"/>
      <c r="V154" s="654" t="s">
        <v>483</v>
      </c>
      <c r="W154" s="654"/>
      <c r="X154" s="654"/>
      <c r="Y154" s="654"/>
      <c r="Z154" s="654"/>
      <c r="AA154" s="654"/>
      <c r="AB154" s="654"/>
      <c r="AC154" s="654"/>
      <c r="AD154" s="654"/>
    </row>
    <row r="155" spans="21:31" x14ac:dyDescent="0.45">
      <c r="U155" s="654"/>
      <c r="V155" s="654" t="s">
        <v>484</v>
      </c>
      <c r="W155" s="654"/>
      <c r="X155" s="654"/>
      <c r="Y155" s="654"/>
      <c r="Z155" s="654"/>
      <c r="AA155" s="654"/>
      <c r="AB155" s="654"/>
      <c r="AC155" s="654"/>
      <c r="AD155" s="654"/>
    </row>
    <row r="156" spans="21:31" x14ac:dyDescent="0.45">
      <c r="U156" s="654"/>
      <c r="V156" s="654"/>
      <c r="W156" s="654"/>
      <c r="X156" s="654"/>
      <c r="Y156" s="654"/>
      <c r="Z156" s="654"/>
      <c r="AA156" s="654"/>
      <c r="AB156" s="654"/>
      <c r="AC156" s="654"/>
      <c r="AD156" s="654"/>
    </row>
    <row r="157" spans="21:31" x14ac:dyDescent="0.45">
      <c r="U157" s="654"/>
      <c r="V157" s="6" t="s">
        <v>515</v>
      </c>
      <c r="W157" s="654"/>
      <c r="X157" s="654"/>
      <c r="Y157" s="654"/>
      <c r="Z157" s="654"/>
      <c r="AA157" s="654"/>
      <c r="AB157" s="654"/>
      <c r="AC157" s="654"/>
      <c r="AD157" s="654"/>
    </row>
    <row r="158" spans="21:31" x14ac:dyDescent="0.45">
      <c r="U158" s="654"/>
      <c r="V158" s="654"/>
      <c r="W158" s="654"/>
      <c r="X158" s="654"/>
      <c r="Y158" s="654"/>
      <c r="Z158" s="654"/>
      <c r="AA158" s="654"/>
      <c r="AB158" s="654"/>
      <c r="AC158" s="654"/>
      <c r="AD158" s="654"/>
    </row>
    <row r="159" spans="21:31" x14ac:dyDescent="0.45">
      <c r="U159" s="654"/>
      <c r="V159" s="654" t="s">
        <v>516</v>
      </c>
      <c r="W159" s="654"/>
      <c r="X159" s="654"/>
      <c r="Y159" s="654"/>
      <c r="Z159" s="654"/>
      <c r="AA159" s="654"/>
      <c r="AB159" s="654"/>
      <c r="AC159" s="654"/>
      <c r="AD159" s="654"/>
    </row>
    <row r="160" spans="21:31" x14ac:dyDescent="0.45">
      <c r="U160" s="654"/>
      <c r="V160" s="654" t="s">
        <v>517</v>
      </c>
      <c r="W160" s="654"/>
      <c r="X160" s="654"/>
      <c r="Y160" s="654"/>
      <c r="Z160" s="654"/>
      <c r="AA160" s="654"/>
      <c r="AB160" s="654"/>
      <c r="AC160" s="654"/>
      <c r="AD160" s="654"/>
    </row>
    <row r="161" spans="21:30" x14ac:dyDescent="0.45">
      <c r="U161" s="654"/>
      <c r="V161" s="654"/>
      <c r="W161" s="654"/>
      <c r="X161" s="654"/>
      <c r="Y161" s="654"/>
      <c r="Z161" s="654"/>
      <c r="AA161" s="654"/>
      <c r="AB161" s="654"/>
      <c r="AC161" s="654"/>
      <c r="AD161" s="654"/>
    </row>
    <row r="162" spans="21:30" x14ac:dyDescent="0.45">
      <c r="U162" s="587" t="s">
        <v>518</v>
      </c>
      <c r="V162" s="655"/>
      <c r="W162" s="655"/>
      <c r="X162" s="655"/>
      <c r="Y162" s="655"/>
      <c r="Z162" s="655"/>
      <c r="AA162" s="655"/>
      <c r="AB162" s="655"/>
      <c r="AC162" s="655"/>
      <c r="AD162" s="655"/>
    </row>
    <row r="163" spans="21:30" x14ac:dyDescent="0.45">
      <c r="U163" s="654"/>
      <c r="V163" s="654"/>
      <c r="W163" s="654"/>
      <c r="X163" s="654"/>
      <c r="Y163" s="654"/>
      <c r="Z163" s="654"/>
      <c r="AA163" s="654"/>
      <c r="AB163" s="654"/>
      <c r="AC163" s="654"/>
      <c r="AD163" s="654"/>
    </row>
    <row r="164" spans="21:30" x14ac:dyDescent="0.45">
      <c r="U164" s="654"/>
      <c r="V164" s="654" t="s">
        <v>519</v>
      </c>
      <c r="W164" s="654"/>
      <c r="X164" s="654"/>
      <c r="Y164" s="654"/>
      <c r="Z164" s="654"/>
      <c r="AA164" s="654"/>
      <c r="AB164" s="654"/>
      <c r="AC164" s="654"/>
      <c r="AD164" s="654"/>
    </row>
    <row r="165" spans="21:30" x14ac:dyDescent="0.45">
      <c r="U165" s="654"/>
      <c r="W165" s="654"/>
      <c r="X165" s="654"/>
      <c r="Y165" s="654"/>
      <c r="Z165" s="654"/>
      <c r="AA165" s="654"/>
      <c r="AB165" s="654"/>
      <c r="AC165" s="654"/>
      <c r="AD165" s="654"/>
    </row>
    <row r="166" spans="21:30" x14ac:dyDescent="0.45">
      <c r="U166" s="654"/>
      <c r="V166" s="654" t="s">
        <v>485</v>
      </c>
      <c r="W166" s="654"/>
      <c r="X166" s="654"/>
      <c r="Y166" s="654"/>
      <c r="Z166" s="654"/>
      <c r="AA166" s="654"/>
      <c r="AB166" s="654"/>
      <c r="AC166" s="654"/>
      <c r="AD166" s="654"/>
    </row>
    <row r="167" spans="21:30" x14ac:dyDescent="0.45">
      <c r="U167" s="654"/>
      <c r="V167" s="654"/>
      <c r="W167" s="654"/>
      <c r="X167" s="654"/>
      <c r="Y167" s="654"/>
      <c r="Z167" s="654"/>
      <c r="AA167" s="654"/>
      <c r="AB167" s="654"/>
      <c r="AC167" s="654"/>
      <c r="AD167" s="654"/>
    </row>
    <row r="168" spans="21:30" x14ac:dyDescent="0.45">
      <c r="U168" s="654"/>
      <c r="V168" s="654" t="s">
        <v>520</v>
      </c>
      <c r="W168" s="654"/>
      <c r="X168" s="654"/>
      <c r="Y168" s="654"/>
      <c r="Z168" s="654"/>
      <c r="AA168" s="654"/>
      <c r="AB168" s="654"/>
      <c r="AC168" s="654"/>
      <c r="AD168" s="654"/>
    </row>
    <row r="169" spans="21:30" x14ac:dyDescent="0.45">
      <c r="U169" s="654"/>
      <c r="V169" s="654"/>
      <c r="W169" s="654"/>
      <c r="X169" s="654"/>
      <c r="Y169" s="654"/>
      <c r="Z169" s="654"/>
      <c r="AA169" s="654"/>
      <c r="AB169" s="654"/>
      <c r="AC169" s="654"/>
      <c r="AD169" s="654"/>
    </row>
    <row r="170" spans="21:30" x14ac:dyDescent="0.45">
      <c r="U170" s="587" t="s">
        <v>522</v>
      </c>
      <c r="V170" s="655"/>
      <c r="W170" s="655"/>
      <c r="X170" s="655"/>
      <c r="Y170" s="655"/>
      <c r="Z170" s="655"/>
      <c r="AA170" s="655"/>
      <c r="AB170" s="655"/>
      <c r="AC170" s="655"/>
      <c r="AD170" s="655"/>
    </row>
    <row r="171" spans="21:30" x14ac:dyDescent="0.45">
      <c r="U171" s="654"/>
      <c r="V171" s="654"/>
      <c r="W171" s="654"/>
      <c r="X171" s="654"/>
      <c r="Y171" s="654"/>
      <c r="Z171" s="654"/>
      <c r="AA171" s="654"/>
      <c r="AB171" s="654"/>
      <c r="AC171" s="654"/>
      <c r="AD171" s="654"/>
    </row>
    <row r="172" spans="21:30" x14ac:dyDescent="0.45">
      <c r="U172" s="654"/>
      <c r="V172" s="654" t="s">
        <v>486</v>
      </c>
      <c r="W172" s="654"/>
      <c r="X172" s="654"/>
      <c r="Y172" s="654"/>
      <c r="Z172" s="654"/>
      <c r="AA172" s="654"/>
      <c r="AB172" s="654"/>
      <c r="AC172" s="654"/>
      <c r="AD172" s="654"/>
    </row>
    <row r="173" spans="21:30" x14ac:dyDescent="0.45">
      <c r="U173" s="654"/>
      <c r="V173" s="654" t="s">
        <v>487</v>
      </c>
      <c r="W173" s="654"/>
      <c r="X173" s="654"/>
      <c r="Y173" s="654"/>
      <c r="Z173" s="654"/>
      <c r="AA173" s="654"/>
      <c r="AB173" s="654"/>
      <c r="AC173" s="654"/>
      <c r="AD173" s="654"/>
    </row>
    <row r="174" spans="21:30" x14ac:dyDescent="0.45">
      <c r="U174" s="654"/>
      <c r="V174" s="654"/>
      <c r="W174" s="654"/>
      <c r="X174" s="654"/>
      <c r="Y174" s="654"/>
      <c r="Z174" s="654"/>
      <c r="AA174" s="654"/>
      <c r="AB174" s="654"/>
      <c r="AC174" s="654"/>
      <c r="AD174" s="654"/>
    </row>
    <row r="175" spans="21:30" x14ac:dyDescent="0.45">
      <c r="U175" s="654"/>
      <c r="V175" s="654" t="s">
        <v>488</v>
      </c>
      <c r="W175" s="654"/>
      <c r="X175" s="654"/>
      <c r="Y175" s="654"/>
      <c r="Z175" s="654"/>
      <c r="AA175" s="654"/>
      <c r="AB175" s="654"/>
      <c r="AC175" s="654"/>
      <c r="AD175" s="654"/>
    </row>
    <row r="176" spans="21:30" x14ac:dyDescent="0.45">
      <c r="U176" s="654"/>
      <c r="V176" s="654" t="s">
        <v>489</v>
      </c>
      <c r="W176" s="654"/>
      <c r="X176" s="654"/>
      <c r="Y176" s="654"/>
      <c r="Z176" s="654"/>
      <c r="AA176" s="654"/>
      <c r="AB176" s="654"/>
      <c r="AC176" s="654"/>
      <c r="AD176" s="654"/>
    </row>
    <row r="177" spans="21:30" x14ac:dyDescent="0.45">
      <c r="U177" s="654"/>
      <c r="V177" s="654"/>
      <c r="W177" s="654"/>
      <c r="X177" s="654"/>
      <c r="Y177" s="654"/>
      <c r="Z177" s="654"/>
      <c r="AA177" s="654"/>
      <c r="AB177" s="654"/>
      <c r="AC177" s="654"/>
      <c r="AD177" s="654"/>
    </row>
    <row r="178" spans="21:30" x14ac:dyDescent="0.45">
      <c r="U178" s="654"/>
      <c r="V178" s="654" t="s">
        <v>521</v>
      </c>
      <c r="W178" s="654"/>
      <c r="X178" s="654"/>
      <c r="Y178" s="654"/>
      <c r="Z178" s="654"/>
      <c r="AA178" s="654"/>
      <c r="AB178" s="654"/>
      <c r="AC178" s="654"/>
      <c r="AD178" s="654"/>
    </row>
  </sheetData>
  <dataValidations count="1">
    <dataValidation type="list" allowBlank="1" showInputMessage="1" showErrorMessage="1" sqref="D10" xr:uid="{20EE7895-CEA5-4E85-BF6F-5BB099452D12}">
      <formula1>$C$47:$C$49</formula1>
    </dataValidation>
  </dataValidations>
  <pageMargins left="0.7" right="0.7" top="0.75" bottom="0.75" header="0.3" footer="0.3"/>
  <pageSetup scale="34" orientation="portrait" r:id="rId1"/>
  <rowBreaks count="2" manualBreakCount="2">
    <brk id="41" max="18" man="1"/>
    <brk id="96" max="18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FFFF99"/>
    <pageSetUpPr autoPageBreaks="0"/>
  </sheetPr>
  <dimension ref="B1:AA51"/>
  <sheetViews>
    <sheetView showGridLines="0" zoomScaleNormal="100" workbookViewId="0">
      <selection activeCell="B2" sqref="B2"/>
    </sheetView>
  </sheetViews>
  <sheetFormatPr defaultColWidth="9.15234375" defaultRowHeight="15.9" outlineLevelRow="1" outlineLevelCol="1" x14ac:dyDescent="0.45"/>
  <cols>
    <col min="1" max="1" width="2.69140625" style="38" customWidth="1"/>
    <col min="2" max="2" width="39.3046875" style="38" bestFit="1" customWidth="1"/>
    <col min="3" max="3" width="6.3046875" style="38" hidden="1" customWidth="1" outlineLevel="1"/>
    <col min="4" max="4" width="12.69140625" style="38" customWidth="1" collapsed="1"/>
    <col min="5" max="12" width="12.69140625" style="38" customWidth="1"/>
    <col min="13" max="14" width="2.69140625" style="38" customWidth="1"/>
    <col min="15" max="23" width="10.69140625" style="38" customWidth="1"/>
    <col min="24" max="16384" width="9.15234375" style="38"/>
  </cols>
  <sheetData>
    <row r="1" spans="2:27" ht="15.75" customHeight="1" x14ac:dyDescent="0.45"/>
    <row r="2" spans="2:27" ht="15.75" customHeight="1" x14ac:dyDescent="0.5">
      <c r="B2" s="2" t="str">
        <f>"WACC Analysis - "&amp;TEXT(Company_Name,"")</f>
        <v>WACC Analysis - Walmart Inc.</v>
      </c>
      <c r="C2" s="37"/>
    </row>
    <row r="3" spans="2:27" ht="15.75" customHeight="1" x14ac:dyDescent="0.45">
      <c r="B3" s="25" t="str">
        <f>+WMT_Model!$B$3</f>
        <v>($ in Millions Except Per Share and Per Unit Data)</v>
      </c>
    </row>
    <row r="4" spans="2:27" ht="15.75" customHeight="1" x14ac:dyDescent="0.45">
      <c r="AA4" s="25"/>
    </row>
    <row r="5" spans="2:27" ht="15.75" customHeight="1" x14ac:dyDescent="0.45">
      <c r="B5" s="40" t="s">
        <v>129</v>
      </c>
      <c r="C5" s="40"/>
      <c r="D5" s="41"/>
      <c r="E5" s="41"/>
      <c r="F5" s="41"/>
      <c r="G5" s="42"/>
      <c r="H5" s="42"/>
      <c r="AA5" s="25"/>
    </row>
    <row r="6" spans="2:27" ht="15.75" customHeight="1" x14ac:dyDescent="0.45">
      <c r="B6" s="25" t="s">
        <v>75</v>
      </c>
      <c r="C6" s="25"/>
      <c r="F6" s="43">
        <v>2.12E-2</v>
      </c>
      <c r="G6" s="44"/>
      <c r="H6" s="44"/>
      <c r="AA6" s="25"/>
    </row>
    <row r="7" spans="2:27" ht="15.75" customHeight="1" x14ac:dyDescent="0.45">
      <c r="B7" s="25" t="s">
        <v>76</v>
      </c>
      <c r="C7" s="25"/>
      <c r="F7" s="43">
        <v>5.96E-2</v>
      </c>
      <c r="G7" s="44"/>
      <c r="H7" s="44"/>
      <c r="AA7" s="25"/>
    </row>
    <row r="8" spans="2:27" ht="15.75" customHeight="1" x14ac:dyDescent="0.45">
      <c r="B8" s="25" t="s">
        <v>102</v>
      </c>
      <c r="C8" s="25"/>
      <c r="F8" s="212">
        <f>(-WMT_Model!H157-WMT_Model!H158)/(WMT_Model!H201+WMT_Model!H202+(49570-45396))</f>
        <v>3.7712797595125948E-2</v>
      </c>
      <c r="G8" s="44"/>
      <c r="H8" s="53"/>
      <c r="I8" s="45"/>
      <c r="J8" s="45"/>
      <c r="AA8" s="25"/>
    </row>
    <row r="9" spans="2:27" ht="15.75" customHeight="1" x14ac:dyDescent="0.45">
      <c r="B9" s="25" t="s">
        <v>87</v>
      </c>
      <c r="C9" s="25"/>
      <c r="F9" s="43">
        <v>0</v>
      </c>
      <c r="G9" s="44"/>
      <c r="H9" s="44"/>
      <c r="I9" s="45"/>
      <c r="J9" s="45"/>
      <c r="AA9" s="25"/>
    </row>
    <row r="10" spans="2:27" ht="15.75" customHeight="1" x14ac:dyDescent="0.45">
      <c r="AA10" s="25"/>
    </row>
    <row r="11" spans="2:27" ht="15.75" hidden="1" customHeight="1" outlineLevel="1" x14ac:dyDescent="0.45">
      <c r="B11" s="46" t="str">
        <f>Public_Comps_Data!$B$2</f>
        <v>Company Name:</v>
      </c>
      <c r="C11" s="47" t="str">
        <f>Public_Comps_Data!$B$1</f>
        <v>Ticker:</v>
      </c>
      <c r="D11" s="47" t="str">
        <f>Public_Comps_Data!$B$61</f>
        <v>Levered Beta:</v>
      </c>
      <c r="E11" s="47" t="str">
        <f>Public_Comps_Data!$B$21</f>
        <v>(+) Debt &amp; Capital Leases:</v>
      </c>
      <c r="F11" s="47"/>
      <c r="G11" s="47" t="str">
        <f>Public_Comps_Data!$B$22</f>
        <v>(+) Preferred Stock:</v>
      </c>
      <c r="H11" s="47"/>
      <c r="I11" s="46" t="str">
        <f>Public_Comps_Data!$B$59</f>
        <v>Equity Value:</v>
      </c>
      <c r="J11" s="46"/>
      <c r="K11" s="47" t="str">
        <f>Public_Comps_Data!$B$14</f>
        <v>Effective Tax Rate:</v>
      </c>
      <c r="AA11" s="25"/>
    </row>
    <row r="12" spans="2:27" ht="15.75" customHeight="1" collapsed="1" x14ac:dyDescent="0.45">
      <c r="B12" s="48" t="s">
        <v>130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AA12" s="25"/>
    </row>
    <row r="13" spans="2:27" ht="15.75" customHeight="1" x14ac:dyDescent="0.45">
      <c r="B13" s="48"/>
      <c r="C13" s="48"/>
      <c r="D13" s="49" t="s">
        <v>77</v>
      </c>
      <c r="E13" s="49"/>
      <c r="F13" s="49"/>
      <c r="G13" s="49" t="s">
        <v>88</v>
      </c>
      <c r="H13" s="49"/>
      <c r="I13" s="49" t="s">
        <v>26</v>
      </c>
      <c r="J13" s="49"/>
      <c r="K13" s="49"/>
      <c r="L13" s="49" t="s">
        <v>78</v>
      </c>
      <c r="AA13" s="25"/>
    </row>
    <row r="14" spans="2:27" ht="15.75" customHeight="1" x14ac:dyDescent="0.45">
      <c r="B14" s="50" t="s">
        <v>79</v>
      </c>
      <c r="C14" s="50" t="s">
        <v>32</v>
      </c>
      <c r="D14" s="51" t="s">
        <v>80</v>
      </c>
      <c r="E14" s="51" t="s">
        <v>22</v>
      </c>
      <c r="F14" s="51" t="s">
        <v>89</v>
      </c>
      <c r="G14" s="51" t="s">
        <v>90</v>
      </c>
      <c r="H14" s="51" t="s">
        <v>91</v>
      </c>
      <c r="I14" s="51" t="s">
        <v>34</v>
      </c>
      <c r="J14" s="51" t="s">
        <v>92</v>
      </c>
      <c r="K14" s="51" t="s">
        <v>23</v>
      </c>
      <c r="L14" s="51" t="s">
        <v>80</v>
      </c>
      <c r="AA14" s="25"/>
    </row>
    <row r="15" spans="2:27" ht="15.75" customHeight="1" x14ac:dyDescent="0.45">
      <c r="B15" s="25" t="str">
        <f>INDEX(Pub_Comps_Range,MATCH(B$11,Pub_Comps_Params,0),MATCH($C15,Pub_Comps_Tickers,0))</f>
        <v xml:space="preserve">Costco Wholesale Corporation </v>
      </c>
      <c r="C15" s="25" t="s">
        <v>331</v>
      </c>
      <c r="D15" s="52">
        <f t="shared" ref="D15:E19" si="0">INDEX(Pub_Comps_Range,MATCH(D$11,Pub_Comps_Params,0),MATCH($C15,Pub_Comps_Tickers,0))</f>
        <v>0.9</v>
      </c>
      <c r="E15" s="440">
        <f t="shared" si="0"/>
        <v>6529</v>
      </c>
      <c r="F15" s="53">
        <f>+E15/($E15+$G15+$I15)</f>
        <v>5.5027345682434912E-2</v>
      </c>
      <c r="G15" s="440">
        <f>INDEX(Pub_Comps_Range,MATCH(G$11,Pub_Comps_Params,0),MATCH($C15,Pub_Comps_Tickers,0))</f>
        <v>0</v>
      </c>
      <c r="H15" s="53">
        <f>+G15/($E15+$G15+$I15)</f>
        <v>0</v>
      </c>
      <c r="I15" s="440">
        <f>INDEX(Pub_Comps_Range,MATCH(I$11,Pub_Comps_Params,0),MATCH($C15,Pub_Comps_Tickers,0))</f>
        <v>112121.09876506</v>
      </c>
      <c r="J15" s="53">
        <f>+I15/($E15+$G15+$I15)</f>
        <v>0.94497265431756505</v>
      </c>
      <c r="K15" s="53">
        <f>INDEX(Pub_Comps_Range,MATCH(K$11,Pub_Comps_Params,0),MATCH($C15,Pub_Comps_Tickers,0))</f>
        <v>0.20745493431102963</v>
      </c>
      <c r="L15" s="54">
        <f>IFERROR(D15/(1+(E15/I15)*(1-K15)+G15/I15),"N/A")</f>
        <v>0.86029626816272942</v>
      </c>
      <c r="AA15" s="25"/>
    </row>
    <row r="16" spans="2:27" ht="15.75" customHeight="1" x14ac:dyDescent="0.45">
      <c r="B16" s="25" t="str">
        <f>INDEX(Pub_Comps_Range,MATCH(B$11,Pub_Comps_Params,0),MATCH($C16,Pub_Comps_Tickers,0))</f>
        <v xml:space="preserve">Walgreens Boots Alliance, Inc. </v>
      </c>
      <c r="C16" s="25" t="s">
        <v>335</v>
      </c>
      <c r="D16" s="52">
        <f t="shared" si="0"/>
        <v>0.76</v>
      </c>
      <c r="E16" s="441">
        <f t="shared" si="0"/>
        <v>18041</v>
      </c>
      <c r="F16" s="53">
        <f t="shared" ref="F16:F19" si="1">+E16/($E16+$G16+$I16)</f>
        <v>0.27904798973216177</v>
      </c>
      <c r="G16" s="441">
        <f>INDEX(Pub_Comps_Range,MATCH(G$11,Pub_Comps_Params,0),MATCH($C16,Pub_Comps_Tickers,0))</f>
        <v>0</v>
      </c>
      <c r="H16" s="53">
        <f t="shared" ref="H16:H19" si="2">+G16/($E16+$G16+$I16)</f>
        <v>0</v>
      </c>
      <c r="I16" s="441">
        <f>INDEX(Pub_Comps_Range,MATCH(I$11,Pub_Comps_Params,0),MATCH($C16,Pub_Comps_Tickers,0))</f>
        <v>46610.96189844</v>
      </c>
      <c r="J16" s="53">
        <f t="shared" ref="J16:J19" si="3">+I16/($E16+$G16+$I16)</f>
        <v>0.72095201026783817</v>
      </c>
      <c r="K16" s="53">
        <f>INDEX(Pub_Comps_Range,MATCH(K$11,Pub_Comps_Params,0),MATCH($C16,Pub_Comps_Tickers,0))</f>
        <v>0.15490270888973673</v>
      </c>
      <c r="L16" s="54">
        <f t="shared" ref="L16:L19" si="4">IFERROR(D16/(1+(E16/I16)*(1-K16)+G16/I16),"N/A")</f>
        <v>0.57267768660871798</v>
      </c>
      <c r="AA16" s="25"/>
    </row>
    <row r="17" spans="2:27" ht="15.75" customHeight="1" x14ac:dyDescent="0.45">
      <c r="B17" s="25" t="str">
        <f>INDEX(Pub_Comps_Range,MATCH(B$11,Pub_Comps_Params,0),MATCH($C17,Pub_Comps_Tickers,0))</f>
        <v>The Kroger Co.</v>
      </c>
      <c r="C17" s="25" t="s">
        <v>333</v>
      </c>
      <c r="D17" s="52">
        <f t="shared" si="0"/>
        <v>0.68</v>
      </c>
      <c r="E17" s="441">
        <f t="shared" si="0"/>
        <v>13469</v>
      </c>
      <c r="F17" s="53">
        <f t="shared" si="1"/>
        <v>0.41501568744602452</v>
      </c>
      <c r="G17" s="441">
        <f>INDEX(Pub_Comps_Range,MATCH(G$11,Pub_Comps_Params,0),MATCH($C17,Pub_Comps_Tickers,0))</f>
        <v>0</v>
      </c>
      <c r="H17" s="53">
        <f t="shared" si="2"/>
        <v>0</v>
      </c>
      <c r="I17" s="441">
        <f>INDEX(Pub_Comps_Range,MATCH(I$11,Pub_Comps_Params,0),MATCH($C17,Pub_Comps_Tickers,0))</f>
        <v>18985.194883299999</v>
      </c>
      <c r="J17" s="53">
        <f t="shared" si="3"/>
        <v>0.58498431255397554</v>
      </c>
      <c r="K17" s="53">
        <f>INDEX(Pub_Comps_Range,MATCH(K$11,Pub_Comps_Params,0),MATCH($C17,Pub_Comps_Tickers,0))</f>
        <v>0.22851365015166836</v>
      </c>
      <c r="L17" s="54">
        <f t="shared" si="4"/>
        <v>0.43946694959682675</v>
      </c>
      <c r="AA17" s="25"/>
    </row>
    <row r="18" spans="2:27" ht="15.75" customHeight="1" x14ac:dyDescent="0.45">
      <c r="B18" s="25" t="str">
        <f>INDEX(Pub_Comps_Range,MATCH(B$11,Pub_Comps_Params,0),MATCH($C18,Pub_Comps_Tickers,0))</f>
        <v>Target Corporation</v>
      </c>
      <c r="C18" s="25" t="s">
        <v>337</v>
      </c>
      <c r="D18" s="52">
        <f t="shared" si="0"/>
        <v>0.6</v>
      </c>
      <c r="E18" s="441">
        <f t="shared" si="0"/>
        <v>12413</v>
      </c>
      <c r="F18" s="53">
        <f t="shared" si="1"/>
        <v>0.21769812758817952</v>
      </c>
      <c r="G18" s="441">
        <f>INDEX(Pub_Comps_Range,MATCH(G$11,Pub_Comps_Params,0),MATCH($C18,Pub_Comps_Tickers,0))</f>
        <v>0</v>
      </c>
      <c r="H18" s="53">
        <f t="shared" si="2"/>
        <v>0</v>
      </c>
      <c r="I18" s="441">
        <f>INDEX(Pub_Comps_Range,MATCH(I$11,Pub_Comps_Params,0),MATCH($C18,Pub_Comps_Tickers,0))</f>
        <v>44606.323673200008</v>
      </c>
      <c r="J18" s="53">
        <f t="shared" si="3"/>
        <v>0.78230187241182048</v>
      </c>
      <c r="K18" s="53">
        <f>INDEX(Pub_Comps_Range,MATCH(K$11,Pub_Comps_Params,0),MATCH($C18,Pub_Comps_Tickers,0))</f>
        <v>0.22428991185112634</v>
      </c>
      <c r="L18" s="54">
        <f t="shared" si="4"/>
        <v>0.49347633621733911</v>
      </c>
      <c r="AA18" s="25"/>
    </row>
    <row r="19" spans="2:27" ht="15.75" customHeight="1" x14ac:dyDescent="0.45">
      <c r="B19" s="25" t="str">
        <f>INDEX(Pub_Comps_Range,MATCH(B$11,Pub_Comps_Params,0),MATCH($C19,Pub_Comps_Tickers,0))</f>
        <v>Best Buy Co., Inc.</v>
      </c>
      <c r="C19" s="25" t="s">
        <v>338</v>
      </c>
      <c r="D19" s="52">
        <f t="shared" si="0"/>
        <v>0.99</v>
      </c>
      <c r="E19" s="441">
        <f t="shared" si="0"/>
        <v>1393</v>
      </c>
      <c r="F19" s="53">
        <f t="shared" si="1"/>
        <v>7.5401475698917947E-2</v>
      </c>
      <c r="G19" s="441">
        <f>INDEX(Pub_Comps_Range,MATCH(G$11,Pub_Comps_Params,0),MATCH($C19,Pub_Comps_Tickers,0))</f>
        <v>0</v>
      </c>
      <c r="H19" s="53">
        <f t="shared" si="2"/>
        <v>0</v>
      </c>
      <c r="I19" s="441">
        <f>INDEX(Pub_Comps_Range,MATCH(I$11,Pub_Comps_Params,0),MATCH($C19,Pub_Comps_Tickers,0))</f>
        <v>17081.4394866</v>
      </c>
      <c r="J19" s="53">
        <f t="shared" si="3"/>
        <v>0.92459852430108203</v>
      </c>
      <c r="K19" s="53">
        <f>INDEX(Pub_Comps_Range,MATCH(K$11,Pub_Comps_Params,0),MATCH($C19,Pub_Comps_Tickers,0))</f>
        <v>0.19696969696969696</v>
      </c>
      <c r="L19" s="54">
        <f t="shared" si="4"/>
        <v>0.92915212601033736</v>
      </c>
      <c r="AA19" s="25"/>
    </row>
    <row r="20" spans="2:27" ht="15.75" customHeight="1" x14ac:dyDescent="0.45">
      <c r="AA20" s="25"/>
    </row>
    <row r="21" spans="2:27" ht="15.75" customHeight="1" x14ac:dyDescent="0.45">
      <c r="B21" s="55" t="s">
        <v>93</v>
      </c>
      <c r="C21" s="56"/>
      <c r="D21" s="57">
        <f>MEDIAN(D15:D19)</f>
        <v>0.76</v>
      </c>
      <c r="E21" s="442">
        <f t="shared" ref="E21:L21" si="5">MEDIAN(E15:E19)</f>
        <v>12413</v>
      </c>
      <c r="F21" s="58">
        <f t="shared" si="5"/>
        <v>0.21769812758817952</v>
      </c>
      <c r="G21" s="442">
        <f t="shared" si="5"/>
        <v>0</v>
      </c>
      <c r="H21" s="58">
        <f t="shared" si="5"/>
        <v>0</v>
      </c>
      <c r="I21" s="442">
        <f t="shared" si="5"/>
        <v>44606.323673200008</v>
      </c>
      <c r="J21" s="58">
        <f t="shared" si="5"/>
        <v>0.78230187241182048</v>
      </c>
      <c r="K21" s="58">
        <f t="shared" si="5"/>
        <v>0.20745493431102963</v>
      </c>
      <c r="L21" s="59">
        <f t="shared" si="5"/>
        <v>0.57267768660871798</v>
      </c>
      <c r="AA21" s="25"/>
    </row>
    <row r="22" spans="2:27" ht="15.75" customHeight="1" x14ac:dyDescent="0.45">
      <c r="AA22" s="25"/>
    </row>
    <row r="23" spans="2:27" ht="15.75" customHeight="1" x14ac:dyDescent="0.45">
      <c r="B23" s="60" t="str">
        <f>INDEX(Pub_Comps_Range,MATCH(B$11,Pub_Comps_Params,0),MATCH($C23,Pub_Comps_Tickers,0))</f>
        <v>Walmart Inc.</v>
      </c>
      <c r="C23" s="61" t="str">
        <f>Ticker</f>
        <v>WMT</v>
      </c>
      <c r="D23" s="62">
        <f>INDEX(Pub_Comps_Range,MATCH(D$11,Pub_Comps_Params,0),MATCH($C23,Pub_Comps_Tickers,0))</f>
        <v>0.37</v>
      </c>
      <c r="E23" s="288"/>
      <c r="F23" s="63"/>
      <c r="G23" s="63"/>
      <c r="H23" s="63"/>
      <c r="I23" s="63"/>
      <c r="J23" s="63"/>
      <c r="K23" s="64"/>
      <c r="L23" s="65"/>
      <c r="AA23" s="25"/>
    </row>
    <row r="24" spans="2:27" ht="15.75" customHeight="1" x14ac:dyDescent="0.45">
      <c r="AA24" s="25"/>
    </row>
    <row r="25" spans="2:27" ht="15.75" customHeight="1" x14ac:dyDescent="0.45">
      <c r="B25" s="48" t="str">
        <f>TEXT(Company_Name,"")&amp; " - Levered Beta &amp; WACC Calculation:"</f>
        <v>Walmart Inc. - Levered Beta &amp; WACC Calculation: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AA25" s="25"/>
    </row>
    <row r="26" spans="2:27" ht="15.75" customHeight="1" x14ac:dyDescent="0.45">
      <c r="B26" s="48"/>
      <c r="C26" s="48"/>
      <c r="D26" s="49" t="s">
        <v>78</v>
      </c>
      <c r="E26" s="49"/>
      <c r="F26" s="49"/>
      <c r="G26" s="49" t="s">
        <v>88</v>
      </c>
      <c r="H26" s="49"/>
      <c r="I26" s="49" t="s">
        <v>26</v>
      </c>
      <c r="J26" s="49"/>
      <c r="K26" s="49"/>
      <c r="L26" s="49" t="s">
        <v>77</v>
      </c>
      <c r="AA26" s="25"/>
    </row>
    <row r="27" spans="2:27" ht="15.75" customHeight="1" x14ac:dyDescent="0.45">
      <c r="B27" s="50"/>
      <c r="C27" s="50" t="s">
        <v>32</v>
      </c>
      <c r="D27" s="51" t="s">
        <v>80</v>
      </c>
      <c r="E27" s="51" t="s">
        <v>22</v>
      </c>
      <c r="F27" s="51" t="s">
        <v>89</v>
      </c>
      <c r="G27" s="51" t="s">
        <v>90</v>
      </c>
      <c r="H27" s="51" t="s">
        <v>91</v>
      </c>
      <c r="I27" s="51" t="s">
        <v>34</v>
      </c>
      <c r="J27" s="51" t="s">
        <v>92</v>
      </c>
      <c r="K27" s="51" t="s">
        <v>23</v>
      </c>
      <c r="L27" s="51" t="s">
        <v>80</v>
      </c>
      <c r="AA27" s="25"/>
    </row>
    <row r="28" spans="2:27" ht="15.75" customHeight="1" x14ac:dyDescent="0.45">
      <c r="B28" s="30" t="s">
        <v>94</v>
      </c>
      <c r="C28" s="30" t="str">
        <f>Ticker</f>
        <v>WMT</v>
      </c>
      <c r="D28" s="66">
        <f>+L21</f>
        <v>0.57267768660871798</v>
      </c>
      <c r="E28" s="433">
        <f>INDEX(Pub_Comps_Range,MATCH(E$11,Pub_Comps_Params,0),MATCH($C28,Pub_Comps_Tickers,0))</f>
        <v>57962</v>
      </c>
      <c r="F28" s="67">
        <f>+E28/($E28+$G28+$I28)</f>
        <v>0.16076451740769479</v>
      </c>
      <c r="G28" s="433">
        <f>INDEX(Pub_Comps_Range,MATCH(G$11,Pub_Comps_Params,0),MATCH($C28,Pub_Comps_Tickers,0))</f>
        <v>0</v>
      </c>
      <c r="H28" s="67">
        <f>+G28/($E28+$G28+$I28)</f>
        <v>0</v>
      </c>
      <c r="I28" s="433">
        <f>INDEX(Pub_Comps_Range,MATCH(I$11,Pub_Comps_Params,0),MATCH($C28,Pub_Comps_Tickers,0))</f>
        <v>302577.75674874714</v>
      </c>
      <c r="J28" s="67">
        <f>+I28/($E28+$G28+$I28)</f>
        <v>0.83923548259230518</v>
      </c>
      <c r="K28" s="68">
        <f>INDEX(Pub_Comps_Range,MATCH(K$11,Pub_Comps_Params,0),MATCH($C28,Pub_Comps_Tickers,0))</f>
        <v>0.2425828970331588</v>
      </c>
      <c r="L28" s="69">
        <f>D28*(1+(E28/I28)*(1-Tax_Rate)+(G28/I28))</f>
        <v>0.65576825565044106</v>
      </c>
      <c r="AA28" s="25"/>
    </row>
    <row r="29" spans="2:27" ht="15.75" customHeight="1" x14ac:dyDescent="0.45">
      <c r="B29" s="25" t="s">
        <v>95</v>
      </c>
      <c r="C29" s="25" t="str">
        <f>Ticker</f>
        <v>WMT</v>
      </c>
      <c r="D29" s="70">
        <f>+L21</f>
        <v>0.57267768660871798</v>
      </c>
      <c r="E29" s="432">
        <f>+F29*($E28+$G28+$I28)</f>
        <v>78488.82996529997</v>
      </c>
      <c r="F29" s="71">
        <f>+F21</f>
        <v>0.21769812758817952</v>
      </c>
      <c r="G29" s="432">
        <f>+H29*($E28+$G28+$I28)</f>
        <v>0</v>
      </c>
      <c r="H29" s="71">
        <f>+H21</f>
        <v>0</v>
      </c>
      <c r="I29" s="432">
        <f>+J29*($E28+$G28+$I28)</f>
        <v>282050.92678344715</v>
      </c>
      <c r="J29" s="71">
        <f>+J21</f>
        <v>0.78230187241182048</v>
      </c>
      <c r="K29" s="72">
        <f>INDEX(Pub_Comps_Range,MATCH(K$11,Pub_Comps_Params,0),MATCH($C29,Pub_Comps_Tickers,0))</f>
        <v>0.2425828970331588</v>
      </c>
      <c r="L29" s="73">
        <f>D29*(1+(E29/I29)*(1-Tax_Rate)+(G29/I29))</f>
        <v>0.6933828069733049</v>
      </c>
      <c r="AA29" s="25"/>
    </row>
    <row r="30" spans="2:27" ht="15.75" customHeight="1" x14ac:dyDescent="0.45">
      <c r="AA30" s="25"/>
    </row>
    <row r="31" spans="2:27" ht="15.75" customHeight="1" x14ac:dyDescent="0.45">
      <c r="B31" s="74" t="s">
        <v>96</v>
      </c>
      <c r="C31" s="75"/>
      <c r="D31" s="75"/>
      <c r="E31" s="75"/>
      <c r="F31" s="75"/>
      <c r="G31" s="75"/>
      <c r="H31" s="75"/>
      <c r="I31" s="75"/>
      <c r="J31" s="75"/>
      <c r="K31" s="75"/>
      <c r="L31" s="76">
        <f>+Risk_Free_Rate+Equity_Risk_Premium*L28</f>
        <v>6.0283788036766289E-2</v>
      </c>
      <c r="AA31" s="25"/>
    </row>
    <row r="32" spans="2:27" ht="15.75" customHeight="1" x14ac:dyDescent="0.45">
      <c r="B32" s="77" t="s">
        <v>97</v>
      </c>
      <c r="C32" s="78"/>
      <c r="D32" s="78"/>
      <c r="E32" s="78"/>
      <c r="F32" s="78"/>
      <c r="G32" s="78"/>
      <c r="H32" s="78"/>
      <c r="I32" s="78"/>
      <c r="J32" s="78"/>
      <c r="K32" s="78"/>
      <c r="L32" s="79">
        <f>+Risk_Free_Rate+Equity_Risk_Premium*L29</f>
        <v>6.2525615295608974E-2</v>
      </c>
      <c r="AA32" s="25"/>
    </row>
    <row r="33" spans="2:27" ht="15.75" customHeight="1" x14ac:dyDescent="0.45">
      <c r="B33" s="80" t="s">
        <v>81</v>
      </c>
      <c r="C33" s="81"/>
      <c r="D33" s="81"/>
      <c r="E33" s="81"/>
      <c r="F33" s="81"/>
      <c r="G33" s="81"/>
      <c r="H33" s="81"/>
      <c r="I33" s="81"/>
      <c r="J33" s="81"/>
      <c r="K33" s="81"/>
      <c r="L33" s="82">
        <f>+Risk_Free_Rate+Equity_Risk_Premium*D23</f>
        <v>4.3251999999999999E-2</v>
      </c>
      <c r="AA33" s="25"/>
    </row>
    <row r="34" spans="2:27" ht="15.75" customHeight="1" x14ac:dyDescent="0.45"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AA34" s="25"/>
    </row>
    <row r="35" spans="2:27" ht="15.75" customHeight="1" x14ac:dyDescent="0.45">
      <c r="B35" s="25" t="s">
        <v>82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AA35" s="25"/>
    </row>
    <row r="36" spans="2:27" ht="15.75" customHeight="1" x14ac:dyDescent="0.4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AA36" s="25"/>
    </row>
    <row r="37" spans="2:27" ht="15.75" customHeight="1" x14ac:dyDescent="0.45">
      <c r="B37" s="74" t="s">
        <v>98</v>
      </c>
      <c r="C37" s="75"/>
      <c r="D37" s="75"/>
      <c r="E37" s="75"/>
      <c r="F37" s="75"/>
      <c r="G37" s="75"/>
      <c r="H37" s="75"/>
      <c r="I37" s="75"/>
      <c r="J37" s="75"/>
      <c r="K37" s="75"/>
      <c r="L37" s="83">
        <f>+L31*J28+Cost_of_Debt*(1-Tax_Rate)*F28+Cost_of_Preferred*H28</f>
        <v>5.5184422727684743E-2</v>
      </c>
      <c r="AA37" s="25"/>
    </row>
    <row r="38" spans="2:27" ht="15.75" customHeight="1" x14ac:dyDescent="0.45">
      <c r="B38" s="77" t="s">
        <v>99</v>
      </c>
      <c r="C38" s="78"/>
      <c r="D38" s="78"/>
      <c r="E38" s="78"/>
      <c r="F38" s="78"/>
      <c r="G38" s="78"/>
      <c r="H38" s="78"/>
      <c r="I38" s="78"/>
      <c r="J38" s="78"/>
      <c r="K38" s="78"/>
      <c r="L38" s="84">
        <f>+L33*J28+Cost_of_Debt*(1-Tax_Rate)*F28+Cost_of_Preferred*H28</f>
        <v>4.0890741875239334E-2</v>
      </c>
      <c r="AA38" s="25"/>
    </row>
    <row r="39" spans="2:27" ht="15.75" customHeight="1" x14ac:dyDescent="0.45">
      <c r="B39" s="80" t="s">
        <v>100</v>
      </c>
      <c r="C39" s="81"/>
      <c r="D39" s="81"/>
      <c r="E39" s="81"/>
      <c r="F39" s="81"/>
      <c r="G39" s="81"/>
      <c r="H39" s="81"/>
      <c r="I39" s="81"/>
      <c r="J39" s="81"/>
      <c r="K39" s="81"/>
      <c r="L39" s="85">
        <f>+L32*J29+Cost_of_Debt*(1-Tax_Rate)*F29+Cost_of_Preferred*H29</f>
        <v>5.513230444196178E-2</v>
      </c>
      <c r="AA39" s="25"/>
    </row>
    <row r="40" spans="2:27" ht="15.75" customHeight="1" x14ac:dyDescent="0.45">
      <c r="AA40" s="25"/>
    </row>
    <row r="41" spans="2:27" ht="15.75" customHeight="1" x14ac:dyDescent="0.45">
      <c r="B41" s="60" t="s">
        <v>101</v>
      </c>
      <c r="C41" s="61"/>
      <c r="D41" s="61"/>
      <c r="E41" s="61"/>
      <c r="F41" s="61"/>
      <c r="G41" s="61"/>
      <c r="H41" s="61"/>
      <c r="I41" s="61"/>
      <c r="J41" s="61"/>
      <c r="K41" s="61"/>
      <c r="L41" s="86">
        <f>AVERAGE(L37:L39)</f>
        <v>5.0402489681628616E-2</v>
      </c>
      <c r="AA41" s="25"/>
    </row>
    <row r="42" spans="2:27" x14ac:dyDescent="0.45">
      <c r="AA42" s="25"/>
    </row>
    <row r="43" spans="2:27" x14ac:dyDescent="0.45">
      <c r="AA43" s="25"/>
    </row>
    <row r="44" spans="2:27" x14ac:dyDescent="0.45">
      <c r="AA44" s="25"/>
    </row>
    <row r="45" spans="2:27" x14ac:dyDescent="0.45">
      <c r="AA45" s="25"/>
    </row>
    <row r="46" spans="2:27" x14ac:dyDescent="0.45">
      <c r="AA46" s="25"/>
    </row>
    <row r="47" spans="2:27" x14ac:dyDescent="0.45">
      <c r="AA47" s="25"/>
    </row>
    <row r="48" spans="2:27" x14ac:dyDescent="0.45">
      <c r="AA48" s="25"/>
    </row>
    <row r="49" spans="27:27" x14ac:dyDescent="0.45">
      <c r="AA49" s="25"/>
    </row>
    <row r="50" spans="27:27" x14ac:dyDescent="0.45">
      <c r="AA50" s="25"/>
    </row>
    <row r="51" spans="27:27" x14ac:dyDescent="0.45">
      <c r="AA51" s="25"/>
    </row>
  </sheetData>
  <pageMargins left="0.7" right="0.7" top="0.75" bottom="0.75" header="0.3" footer="0.3"/>
  <pageSetup scale="53" orientation="portrait" r:id="rId1"/>
  <ignoredErrors>
    <ignoredError sqref="C23 F15:F19 H15:H19 G15:G19 I15:I19 J15:J19 F28:I29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tabColor rgb="FF0000FF"/>
    <pageSetUpPr autoPageBreaks="0"/>
  </sheetPr>
  <dimension ref="B2:N49"/>
  <sheetViews>
    <sheetView showGridLines="0" zoomScaleNormal="100" workbookViewId="0">
      <selection activeCell="B2" sqref="B2"/>
    </sheetView>
  </sheetViews>
  <sheetFormatPr defaultColWidth="8.84375" defaultRowHeight="15.9" x14ac:dyDescent="0.45"/>
  <cols>
    <col min="1" max="1" width="2.69140625" style="201" customWidth="1"/>
    <col min="2" max="2" width="46.3046875" style="201" bestFit="1" customWidth="1"/>
    <col min="3" max="13" width="12.69140625" style="201" customWidth="1"/>
    <col min="14" max="14" width="2.69140625" style="201" customWidth="1"/>
    <col min="15" max="16384" width="8.84375" style="201"/>
  </cols>
  <sheetData>
    <row r="2" spans="2:13" ht="18.45" x14ac:dyDescent="0.5">
      <c r="B2" s="3" t="str">
        <f>"Valuation Summary - "&amp;TEXT(Company_Name,"")&amp;" - "&amp;Scenario&amp;" Case"</f>
        <v>Valuation Summary - Walmart Inc. - Base Case</v>
      </c>
    </row>
    <row r="3" spans="2:13" x14ac:dyDescent="0.45">
      <c r="B3" s="25" t="str">
        <f>+WMT_Model!$B$3</f>
        <v>($ in Millions Except Per Share and Per Unit Data)</v>
      </c>
    </row>
    <row r="5" spans="2:13" x14ac:dyDescent="0.45">
      <c r="B5" s="48" t="str">
        <f>"Valuation Statistics - "&amp;TEXT(Company_Name,"")</f>
        <v>Valuation Statistics - Walmart Inc.</v>
      </c>
      <c r="C5" s="87" t="s">
        <v>159</v>
      </c>
      <c r="D5" s="87"/>
      <c r="E5" s="87"/>
      <c r="F5" s="88"/>
      <c r="G5" s="88"/>
      <c r="H5" s="88"/>
      <c r="I5" s="87" t="s">
        <v>160</v>
      </c>
      <c r="J5" s="88"/>
      <c r="K5" s="88"/>
      <c r="L5" s="88"/>
      <c r="M5" s="88"/>
    </row>
    <row r="6" spans="2:13" x14ac:dyDescent="0.45">
      <c r="B6" s="89"/>
      <c r="C6" s="49"/>
      <c r="D6" s="87"/>
      <c r="E6" s="87"/>
      <c r="F6" s="88"/>
      <c r="G6" s="87"/>
      <c r="H6" s="87"/>
      <c r="I6" s="87"/>
      <c r="J6" s="87"/>
      <c r="K6" s="87"/>
      <c r="L6" s="87"/>
      <c r="M6" s="87"/>
    </row>
    <row r="7" spans="2:13" x14ac:dyDescent="0.45">
      <c r="B7" s="89"/>
      <c r="C7" s="49"/>
      <c r="D7" s="49" t="s">
        <v>103</v>
      </c>
      <c r="E7" s="49"/>
      <c r="F7" s="49" t="s">
        <v>471</v>
      </c>
      <c r="G7" s="87"/>
      <c r="H7" s="49" t="s">
        <v>105</v>
      </c>
      <c r="I7" s="49"/>
      <c r="J7" s="49" t="s">
        <v>103</v>
      </c>
      <c r="K7" s="49"/>
      <c r="L7" s="49" t="s">
        <v>104</v>
      </c>
      <c r="M7" s="49"/>
    </row>
    <row r="8" spans="2:13" x14ac:dyDescent="0.45">
      <c r="B8" s="89"/>
      <c r="C8" s="49" t="s">
        <v>40</v>
      </c>
      <c r="D8" s="49" t="s">
        <v>114</v>
      </c>
      <c r="E8" s="49" t="s">
        <v>38</v>
      </c>
      <c r="F8" s="49" t="s">
        <v>114</v>
      </c>
      <c r="G8" s="49" t="s">
        <v>36</v>
      </c>
      <c r="H8" s="49" t="s">
        <v>106</v>
      </c>
      <c r="I8" s="49" t="s">
        <v>40</v>
      </c>
      <c r="J8" s="49" t="s">
        <v>114</v>
      </c>
      <c r="K8" s="49" t="s">
        <v>38</v>
      </c>
      <c r="L8" s="49" t="s">
        <v>114</v>
      </c>
      <c r="M8" s="49" t="s">
        <v>36</v>
      </c>
    </row>
    <row r="9" spans="2:13" x14ac:dyDescent="0.45">
      <c r="B9" s="50" t="s">
        <v>107</v>
      </c>
      <c r="C9" s="51" t="s">
        <v>108</v>
      </c>
      <c r="D9" s="51" t="s">
        <v>108</v>
      </c>
      <c r="E9" s="51" t="s">
        <v>108</v>
      </c>
      <c r="F9" s="51" t="s">
        <v>108</v>
      </c>
      <c r="G9" s="51" t="s">
        <v>108</v>
      </c>
      <c r="H9" s="51" t="s">
        <v>109</v>
      </c>
      <c r="I9" s="51" t="s">
        <v>108</v>
      </c>
      <c r="J9" s="51" t="s">
        <v>108</v>
      </c>
      <c r="K9" s="51" t="s">
        <v>108</v>
      </c>
      <c r="L9" s="51" t="s">
        <v>108</v>
      </c>
      <c r="M9" s="51" t="s">
        <v>108</v>
      </c>
    </row>
    <row r="10" spans="2:13" x14ac:dyDescent="0.45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</row>
    <row r="11" spans="2:13" x14ac:dyDescent="0.45">
      <c r="B11" s="28" t="s">
        <v>110</v>
      </c>
      <c r="C11" s="202"/>
      <c r="D11" s="25"/>
      <c r="E11" s="25"/>
      <c r="F11" s="25"/>
      <c r="G11" s="25"/>
      <c r="H11" s="25"/>
      <c r="I11" s="25"/>
      <c r="J11" s="25"/>
      <c r="K11" s="25"/>
      <c r="L11" s="25"/>
      <c r="M11" s="25"/>
    </row>
    <row r="12" spans="2:13" x14ac:dyDescent="0.45">
      <c r="B12" s="26" t="str">
        <f>TEXT(LTM,"yyyy-mm-dd")&amp;" EV / Revenue:"</f>
        <v>2019-04-30 EV / Revenue:</v>
      </c>
      <c r="C12" s="647" cm="1">
        <f t="array" ref="C12:G20">TRANSPOSE(_xlfn._xlws.SORT(Public_Comps!G33:O37))</f>
        <v>0.26236852660143284</v>
      </c>
      <c r="D12" s="647">
        <v>0.39169794257779478</v>
      </c>
      <c r="E12" s="647">
        <v>0.42465272488328176</v>
      </c>
      <c r="F12" s="647">
        <v>0.73330521079761701</v>
      </c>
      <c r="G12" s="647">
        <v>0.74067679101874129</v>
      </c>
      <c r="H12" s="648" cm="1">
        <f t="array" ref="H12:H20">TRANSPOSE(Public_Comps!G21:O21)</f>
        <v>515640</v>
      </c>
      <c r="I12" s="92"/>
      <c r="J12" s="92"/>
      <c r="K12" s="92"/>
      <c r="L12" s="92"/>
      <c r="M12" s="92"/>
    </row>
    <row r="13" spans="2:13" x14ac:dyDescent="0.45">
      <c r="B13" s="26" t="str">
        <f>"FY "&amp;TEXT(Forward_Year_1,"y")&amp;" E EV / Revenue:"</f>
        <v>FY 20 E EV / Revenue:</v>
      </c>
      <c r="C13" s="647">
        <v>0.25745310933494714</v>
      </c>
      <c r="D13" s="647">
        <v>0.38557821819193155</v>
      </c>
      <c r="E13" s="647">
        <v>0.41926791437451594</v>
      </c>
      <c r="F13" s="647">
        <v>0.70867342393612587</v>
      </c>
      <c r="G13" s="647">
        <v>0.71544866296928367</v>
      </c>
      <c r="H13" s="649">
        <v>526618.47038822377</v>
      </c>
      <c r="I13" s="73"/>
      <c r="J13" s="73"/>
      <c r="K13" s="73"/>
      <c r="L13" s="73"/>
      <c r="M13" s="73"/>
    </row>
    <row r="14" spans="2:13" x14ac:dyDescent="0.45">
      <c r="B14" s="26" t="str">
        <f>"FY "&amp;TEXT(Forward_Year_2,"y")&amp;" E EV / Revenue:"</f>
        <v>FY 21 E EV / Revenue:</v>
      </c>
      <c r="C14" s="647">
        <v>0.25098923600854905</v>
      </c>
      <c r="D14" s="647">
        <v>0.38012869664022414</v>
      </c>
      <c r="E14" s="647">
        <v>0.4088146094372051</v>
      </c>
      <c r="F14" s="647">
        <v>0.66210451243662238</v>
      </c>
      <c r="G14" s="647">
        <v>0.69439392734970939</v>
      </c>
      <c r="H14" s="649">
        <v>546853.67361168831</v>
      </c>
      <c r="I14" s="73"/>
      <c r="J14" s="73"/>
      <c r="K14" s="73"/>
      <c r="L14" s="73"/>
      <c r="M14" s="73"/>
    </row>
    <row r="15" spans="2:13" x14ac:dyDescent="0.45">
      <c r="B15" s="26" t="str">
        <f>TEXT(LTM,"yyyy-mm-dd")&amp;" EV / EBITDA:"</f>
        <v>2019-04-30 EV / EBITDA:</v>
      </c>
      <c r="C15" s="647">
        <v>6.0834390560616463</v>
      </c>
      <c r="D15" s="647">
        <v>6.347067517348874</v>
      </c>
      <c r="E15" s="647">
        <v>7.0825933699068626</v>
      </c>
      <c r="F15" s="647">
        <v>8.3514158830070251</v>
      </c>
      <c r="G15" s="647">
        <v>17.960631890609399</v>
      </c>
      <c r="H15" s="649">
        <v>32462</v>
      </c>
      <c r="I15" s="73"/>
      <c r="J15" s="73"/>
      <c r="K15" s="73"/>
      <c r="L15" s="73"/>
      <c r="M15" s="73"/>
    </row>
    <row r="16" spans="2:13" x14ac:dyDescent="0.45">
      <c r="B16" s="26" t="str">
        <f>"FY "&amp;TEXT(Forward_Year_1,"y")&amp;" E EV / EBITDA:"</f>
        <v>FY 20 E EV / EBITDA:</v>
      </c>
      <c r="C16" s="647">
        <v>5.8626606292751511</v>
      </c>
      <c r="D16" s="647">
        <v>5.9683278752892379</v>
      </c>
      <c r="E16" s="647">
        <v>6.706975352397472</v>
      </c>
      <c r="F16" s="647">
        <v>8.3311576354015866</v>
      </c>
      <c r="G16" s="647">
        <v>16.904790288627641</v>
      </c>
      <c r="H16" s="649">
        <v>32012.261824422545</v>
      </c>
      <c r="I16" s="73"/>
      <c r="J16" s="73"/>
      <c r="K16" s="73"/>
      <c r="L16" s="73"/>
      <c r="M16" s="73"/>
    </row>
    <row r="17" spans="2:14" x14ac:dyDescent="0.45">
      <c r="B17" s="26" t="str">
        <f>"FY "&amp;TEXT(Forward_Year_2,"y")&amp;" E EV / EBITDA:"</f>
        <v>FY 21 E EV / EBITDA:</v>
      </c>
      <c r="C17" s="647">
        <v>5.7243222929549473</v>
      </c>
      <c r="D17" s="647">
        <v>5.83384831785893</v>
      </c>
      <c r="E17" s="647">
        <v>6.6937669922395928</v>
      </c>
      <c r="F17" s="647">
        <v>8.0860657909839571</v>
      </c>
      <c r="G17" s="647">
        <v>15.686911155437361</v>
      </c>
      <c r="H17" s="649">
        <v>32725.084253053607</v>
      </c>
      <c r="I17" s="73"/>
      <c r="J17" s="73"/>
      <c r="K17" s="73"/>
      <c r="L17" s="73"/>
      <c r="M17" s="73"/>
    </row>
    <row r="18" spans="2:14" x14ac:dyDescent="0.45">
      <c r="B18" s="26" t="str">
        <f>TEXT(LTM,"yyyy-mm-dd")&amp;" Reported P / E:"</f>
        <v>2019-04-30 Reported P / E:</v>
      </c>
      <c r="C18" s="647">
        <v>9.0806471650964351</v>
      </c>
      <c r="D18" s="647">
        <v>10.229092070743533</v>
      </c>
      <c r="E18" s="647">
        <v>11.230400714398423</v>
      </c>
      <c r="F18" s="647">
        <v>14.799709247909757</v>
      </c>
      <c r="G18" s="647">
        <v>31.101553055495145</v>
      </c>
      <c r="H18" s="649">
        <v>8378</v>
      </c>
      <c r="I18" s="73"/>
      <c r="J18" s="73"/>
      <c r="K18" s="73"/>
      <c r="L18" s="73"/>
      <c r="M18" s="73"/>
    </row>
    <row r="19" spans="2:14" x14ac:dyDescent="0.45">
      <c r="B19" s="26" t="str">
        <f>"FY "&amp;TEXT(Forward_Year_1,"y")&amp;" E Reported P / E:"</f>
        <v>FY 20 E Reported P / E:</v>
      </c>
      <c r="C19" s="647">
        <v>8.5930809209837555</v>
      </c>
      <c r="D19" s="647">
        <v>10.863021979470043</v>
      </c>
      <c r="E19" s="647">
        <v>11.257934914188548</v>
      </c>
      <c r="F19" s="647">
        <v>14.668307686024336</v>
      </c>
      <c r="G19" s="647">
        <v>30.897171763956226</v>
      </c>
      <c r="H19" s="649">
        <v>13249.83582473967</v>
      </c>
      <c r="I19" s="73"/>
      <c r="J19" s="73"/>
      <c r="K19" s="73"/>
      <c r="L19" s="73"/>
      <c r="M19" s="73"/>
    </row>
    <row r="20" spans="2:14" x14ac:dyDescent="0.45">
      <c r="B20" s="26" t="str">
        <f>"FY "&amp;TEXT(Forward_Year_2,"y")&amp;" E Reported P / E:"</f>
        <v>FY 21 E Reported P / E:</v>
      </c>
      <c r="C20" s="647">
        <v>8.7537309289806178</v>
      </c>
      <c r="D20" s="647">
        <v>10.397775815246263</v>
      </c>
      <c r="E20" s="647">
        <v>11.116097125286338</v>
      </c>
      <c r="F20" s="647">
        <v>14.14295795545917</v>
      </c>
      <c r="G20" s="647">
        <v>29.334537101701834</v>
      </c>
      <c r="H20" s="649">
        <v>13503.543786589087</v>
      </c>
      <c r="I20" s="73"/>
      <c r="J20" s="73"/>
      <c r="K20" s="73"/>
      <c r="L20" s="73"/>
      <c r="M20" s="73"/>
    </row>
    <row r="21" spans="2:14" x14ac:dyDescent="0.45">
      <c r="B21" s="25"/>
      <c r="C21" s="203"/>
      <c r="D21" s="25"/>
      <c r="E21" s="203"/>
      <c r="F21" s="25"/>
      <c r="G21" s="25"/>
      <c r="H21" s="25"/>
      <c r="I21" s="25"/>
      <c r="J21" s="25"/>
      <c r="K21" s="25"/>
      <c r="L21" s="73"/>
      <c r="M21" s="25"/>
    </row>
    <row r="22" spans="2:14" x14ac:dyDescent="0.45">
      <c r="B22" s="28" t="s">
        <v>111</v>
      </c>
      <c r="C22" s="203"/>
      <c r="D22" s="25"/>
      <c r="E22" s="203"/>
      <c r="F22" s="25"/>
      <c r="G22" s="25"/>
      <c r="H22" s="25"/>
      <c r="I22" s="25"/>
      <c r="J22" s="25"/>
      <c r="K22" s="25"/>
      <c r="L22" s="25"/>
      <c r="M22" s="25"/>
    </row>
    <row r="23" spans="2:14" x14ac:dyDescent="0.45">
      <c r="B23" s="26" t="str">
        <f>TEXT(LTM,"yyyy-mm-dd")&amp;" EV / Revenue:"</f>
        <v>2019-04-30 EV / Revenue:</v>
      </c>
      <c r="C23" s="647" cm="1">
        <f t="array" ref="C23:G24">TRANSPOSE(_xlfn._xlws.SORT(MA_Comps!H17:I21))</f>
        <v>0.19042221500487172</v>
      </c>
      <c r="D23" s="650">
        <v>0.21800004698156461</v>
      </c>
      <c r="E23" s="647">
        <v>0.30133431507397457</v>
      </c>
      <c r="F23" s="647">
        <v>0.74125790071919662</v>
      </c>
      <c r="G23" s="647">
        <v>0.88506331943794003</v>
      </c>
      <c r="H23" s="648">
        <f>Public_Comps!G21</f>
        <v>515640</v>
      </c>
      <c r="I23" s="92"/>
      <c r="J23" s="92"/>
      <c r="K23" s="92"/>
      <c r="L23" s="92"/>
      <c r="M23" s="92"/>
      <c r="N23" s="204"/>
    </row>
    <row r="24" spans="2:14" x14ac:dyDescent="0.45">
      <c r="B24" s="26" t="str">
        <f>TEXT(LTM,"yyyy-mm-dd")&amp;" EV / EBITDA:"</f>
        <v>2019-04-30 EV / EBITDA:</v>
      </c>
      <c r="C24" s="647">
        <v>4.7555079749270774</v>
      </c>
      <c r="D24" s="647">
        <v>5.6563273444881608</v>
      </c>
      <c r="E24" s="647">
        <v>6.8485964524389029</v>
      </c>
      <c r="F24" s="647">
        <v>9.4469967183697321</v>
      </c>
      <c r="G24" s="647">
        <v>11.273541830322074</v>
      </c>
      <c r="H24" s="649">
        <f>Public_Comps!J21</f>
        <v>32462</v>
      </c>
      <c r="I24" s="73"/>
      <c r="J24" s="73"/>
      <c r="K24" s="73"/>
      <c r="L24" s="73"/>
      <c r="M24" s="73"/>
      <c r="N24" s="204"/>
    </row>
    <row r="25" spans="2:14" x14ac:dyDescent="0.45">
      <c r="B25" s="26" t="s">
        <v>168</v>
      </c>
      <c r="C25" s="651" cm="1">
        <f t="array" ref="C25:G27">TRANSPOSE(_xlfn._xlws.SORT(MA_Comps!N17:P21))</f>
        <v>-0.17679837892603845</v>
      </c>
      <c r="D25" s="651">
        <v>7.9197743571485679E-2</v>
      </c>
      <c r="E25" s="651">
        <v>0.17357628675544268</v>
      </c>
      <c r="F25" s="651">
        <v>0.25985230223141331</v>
      </c>
      <c r="G25" s="651">
        <v>0.67095115681233941</v>
      </c>
      <c r="H25" s="652">
        <f>Share_Price</f>
        <v>105.110001</v>
      </c>
      <c r="I25" s="73"/>
      <c r="J25" s="73"/>
      <c r="K25" s="73"/>
      <c r="L25" s="73"/>
      <c r="M25" s="73"/>
    </row>
    <row r="26" spans="2:14" x14ac:dyDescent="0.45">
      <c r="B26" s="26" t="s">
        <v>169</v>
      </c>
      <c r="C26" s="651">
        <v>-0.12891986062717775</v>
      </c>
      <c r="D26" s="651">
        <v>0.10701857080916977</v>
      </c>
      <c r="E26" s="651">
        <v>0.1795427794680271</v>
      </c>
      <c r="F26" s="651">
        <v>0.21565377926039969</v>
      </c>
      <c r="G26" s="651">
        <v>0.51656556229584694</v>
      </c>
      <c r="H26" s="227">
        <v>102.19</v>
      </c>
      <c r="I26" s="73"/>
      <c r="J26" s="73"/>
      <c r="K26" s="73"/>
      <c r="L26" s="73"/>
      <c r="M26" s="73"/>
    </row>
    <row r="27" spans="2:14" x14ac:dyDescent="0.45">
      <c r="B27" s="26" t="s">
        <v>170</v>
      </c>
      <c r="C27" s="651">
        <v>2.0713005377414939E-2</v>
      </c>
      <c r="D27" s="651">
        <v>8.3637298637808555E-2</v>
      </c>
      <c r="E27" s="651">
        <v>0.12801371223238278</v>
      </c>
      <c r="F27" s="651">
        <v>0.15938520426450203</v>
      </c>
      <c r="G27" s="651">
        <v>0.52725563909774431</v>
      </c>
      <c r="H27" s="227">
        <v>102.46</v>
      </c>
      <c r="I27" s="73"/>
      <c r="J27" s="73"/>
      <c r="K27" s="73"/>
      <c r="L27" s="73"/>
      <c r="M27" s="73"/>
    </row>
    <row r="28" spans="2:14" x14ac:dyDescent="0.45">
      <c r="B28" s="25"/>
      <c r="C28" s="203"/>
      <c r="D28" s="25"/>
      <c r="E28" s="203"/>
      <c r="F28" s="25"/>
      <c r="G28" s="25"/>
      <c r="H28" s="25"/>
      <c r="I28" s="25"/>
      <c r="J28" s="25"/>
      <c r="K28" s="25"/>
      <c r="L28" s="25"/>
      <c r="M28" s="25"/>
    </row>
    <row r="29" spans="2:14" x14ac:dyDescent="0.45">
      <c r="B29" s="28" t="s">
        <v>112</v>
      </c>
      <c r="C29" s="203"/>
      <c r="D29" s="25"/>
      <c r="E29" s="203"/>
      <c r="F29" s="25"/>
      <c r="G29" s="25"/>
      <c r="H29" s="25"/>
      <c r="I29" s="25"/>
      <c r="J29" s="25"/>
      <c r="K29" s="25"/>
      <c r="L29" s="25"/>
      <c r="M29" s="25"/>
    </row>
    <row r="30" spans="2:14" x14ac:dyDescent="0.45">
      <c r="B30" s="26" t="str">
        <f>TEXT(DCF!D111,"0.00%")&amp;" - "&amp;TEXT(DCF!D103,"0.00%")&amp;" WACC, "&amp;TEXT(DCF!J102,"0.00%;(0.00%)")&amp;" - "&amp;TEXT(DCF!O102,"0.00%;(0.00%)")&amp;" Terminal FCF Growth Rate:"</f>
        <v>4.00% - 6.00% WACC, (0.13%) - 0.50% Terminal FCF Growth Rate:</v>
      </c>
      <c r="C30" s="72"/>
      <c r="D30" s="72"/>
      <c r="E30" s="72"/>
      <c r="F30" s="72"/>
      <c r="G30" s="72"/>
      <c r="H30" s="92"/>
      <c r="I30" s="205"/>
      <c r="J30" s="205"/>
      <c r="K30" s="205"/>
      <c r="L30" s="205"/>
      <c r="M30" s="205"/>
    </row>
    <row r="32" spans="2:14" x14ac:dyDescent="0.45">
      <c r="B32" s="206" t="s">
        <v>113</v>
      </c>
      <c r="C32" s="207"/>
      <c r="D32" s="207"/>
      <c r="E32" s="207"/>
      <c r="G32" s="208"/>
      <c r="H32" s="208" t="s">
        <v>122</v>
      </c>
      <c r="I32" s="208"/>
      <c r="J32" s="209"/>
      <c r="K32" s="209"/>
      <c r="L32" s="209"/>
      <c r="M32" s="209"/>
    </row>
    <row r="34" spans="2:13" x14ac:dyDescent="0.45">
      <c r="B34" s="28" t="s">
        <v>71</v>
      </c>
      <c r="C34" s="25"/>
      <c r="D34" s="25"/>
      <c r="E34" s="467"/>
      <c r="G34" s="201" t="s">
        <v>123</v>
      </c>
      <c r="I34" s="468"/>
      <c r="J34" s="468"/>
      <c r="K34" s="468"/>
      <c r="L34" s="468"/>
      <c r="M34" s="468"/>
    </row>
    <row r="35" spans="2:13" x14ac:dyDescent="0.45">
      <c r="B35" s="26" t="s">
        <v>140</v>
      </c>
      <c r="C35" s="25"/>
      <c r="D35" s="25"/>
      <c r="E35" s="436"/>
      <c r="G35" s="201" t="s">
        <v>123</v>
      </c>
      <c r="I35" s="469"/>
      <c r="J35" s="469"/>
      <c r="K35" s="469"/>
      <c r="L35" s="469"/>
      <c r="M35" s="469"/>
    </row>
    <row r="36" spans="2:13" x14ac:dyDescent="0.45">
      <c r="B36" s="211" t="s">
        <v>141</v>
      </c>
      <c r="C36" s="210"/>
      <c r="D36" s="210"/>
      <c r="E36" s="436"/>
      <c r="G36" s="201" t="s">
        <v>123</v>
      </c>
      <c r="I36" s="469"/>
      <c r="J36" s="469"/>
      <c r="K36" s="469"/>
      <c r="L36" s="469"/>
      <c r="M36" s="469"/>
    </row>
    <row r="37" spans="2:13" x14ac:dyDescent="0.45">
      <c r="B37" s="211" t="s">
        <v>142</v>
      </c>
      <c r="C37" s="210"/>
      <c r="D37" s="210"/>
      <c r="E37" s="436"/>
      <c r="G37" s="201" t="s">
        <v>123</v>
      </c>
      <c r="I37" s="469"/>
      <c r="J37" s="469"/>
      <c r="K37" s="469"/>
      <c r="L37" s="469"/>
      <c r="M37" s="469"/>
    </row>
    <row r="38" spans="2:13" x14ac:dyDescent="0.45">
      <c r="B38" s="211" t="s">
        <v>143</v>
      </c>
      <c r="C38" s="210"/>
      <c r="D38" s="210"/>
      <c r="E38" s="436"/>
      <c r="G38" s="201" t="s">
        <v>123</v>
      </c>
      <c r="I38" s="469"/>
      <c r="J38" s="469"/>
      <c r="K38" s="469"/>
      <c r="L38" s="469"/>
      <c r="M38" s="469"/>
    </row>
    <row r="39" spans="2:13" x14ac:dyDescent="0.45">
      <c r="B39" s="211" t="s">
        <v>161</v>
      </c>
      <c r="C39" s="210"/>
      <c r="D39" s="210"/>
      <c r="E39" s="436"/>
      <c r="G39" s="201" t="s">
        <v>123</v>
      </c>
      <c r="I39" s="469"/>
      <c r="J39" s="469"/>
      <c r="K39" s="469"/>
      <c r="L39" s="469"/>
      <c r="M39" s="469"/>
    </row>
    <row r="40" spans="2:13" x14ac:dyDescent="0.45">
      <c r="B40" s="211" t="s">
        <v>144</v>
      </c>
      <c r="C40" s="210"/>
      <c r="D40" s="210"/>
      <c r="E40" s="436"/>
      <c r="G40" s="201" t="s">
        <v>124</v>
      </c>
      <c r="I40" s="469"/>
      <c r="J40" s="469"/>
      <c r="K40" s="469"/>
      <c r="L40" s="469"/>
      <c r="M40" s="469"/>
    </row>
    <row r="41" spans="2:13" x14ac:dyDescent="0.45">
      <c r="B41" s="211" t="s">
        <v>145</v>
      </c>
      <c r="C41" s="210"/>
      <c r="D41" s="210"/>
      <c r="E41" s="436"/>
      <c r="G41" s="201" t="s">
        <v>124</v>
      </c>
      <c r="I41" s="469"/>
      <c r="J41" s="469"/>
      <c r="K41" s="469"/>
      <c r="L41" s="469"/>
      <c r="M41" s="469"/>
    </row>
    <row r="42" spans="2:13" x14ac:dyDescent="0.45">
      <c r="B42" s="211" t="s">
        <v>146</v>
      </c>
      <c r="C42" s="210"/>
      <c r="D42" s="210"/>
      <c r="E42" s="436"/>
      <c r="G42" s="201" t="s">
        <v>124</v>
      </c>
      <c r="I42" s="469"/>
      <c r="J42" s="469"/>
      <c r="K42" s="469"/>
      <c r="L42" s="469"/>
      <c r="M42" s="469"/>
    </row>
    <row r="43" spans="2:13" x14ac:dyDescent="0.45">
      <c r="B43" s="211" t="s">
        <v>162</v>
      </c>
      <c r="C43" s="210"/>
      <c r="D43" s="210"/>
      <c r="E43" s="436"/>
      <c r="I43" s="291"/>
      <c r="J43" s="291"/>
      <c r="K43" s="291"/>
      <c r="L43" s="291"/>
      <c r="M43" s="291"/>
    </row>
    <row r="44" spans="2:13" x14ac:dyDescent="0.45">
      <c r="B44" s="29" t="s">
        <v>72</v>
      </c>
      <c r="C44" s="30"/>
      <c r="D44" s="30"/>
      <c r="E44" s="466"/>
      <c r="G44" s="201" t="s">
        <v>123</v>
      </c>
      <c r="I44" s="469"/>
      <c r="J44" s="469"/>
      <c r="K44" s="469"/>
      <c r="L44" s="469"/>
      <c r="M44" s="469"/>
    </row>
    <row r="45" spans="2:13" x14ac:dyDescent="0.45">
      <c r="G45" s="201" t="s">
        <v>123</v>
      </c>
      <c r="I45" s="469"/>
      <c r="J45" s="469"/>
      <c r="K45" s="469"/>
      <c r="L45" s="469"/>
      <c r="M45" s="469"/>
    </row>
    <row r="46" spans="2:13" x14ac:dyDescent="0.45">
      <c r="B46" s="25" t="s">
        <v>73</v>
      </c>
      <c r="C46" s="25"/>
      <c r="D46" s="25"/>
      <c r="E46" s="551"/>
    </row>
    <row r="48" spans="2:13" x14ac:dyDescent="0.45">
      <c r="B48" s="31" t="s">
        <v>115</v>
      </c>
      <c r="C48" s="32"/>
      <c r="D48" s="32"/>
      <c r="E48" s="33"/>
    </row>
    <row r="49" spans="2:5" x14ac:dyDescent="0.45">
      <c r="B49" s="34" t="s">
        <v>74</v>
      </c>
      <c r="C49" s="35"/>
      <c r="D49" s="35"/>
      <c r="E49" s="36"/>
    </row>
  </sheetData>
  <pageMargins left="0.7" right="0.7" top="0.75" bottom="0.75" header="0.3" footer="0.3"/>
  <pageSetup scale="44" orientation="portrait" horizontalDpi="300" verticalDpi="300" r:id="rId1"/>
  <ignoredErrors>
    <ignoredError sqref="I21:M22" evalErro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rgb="FFB2B2B2"/>
    <pageSetUpPr autoPageBreaks="0"/>
  </sheetPr>
  <dimension ref="B2:X52"/>
  <sheetViews>
    <sheetView showGridLines="0" zoomScaleNormal="100" workbookViewId="0"/>
  </sheetViews>
  <sheetFormatPr defaultColWidth="8.84375" defaultRowHeight="15.9" x14ac:dyDescent="0.45"/>
  <cols>
    <col min="1" max="1" width="2.69140625" style="213" customWidth="1"/>
    <col min="2" max="23" width="10.69140625" style="213" customWidth="1"/>
    <col min="24" max="16384" width="8.84375" style="213"/>
  </cols>
  <sheetData>
    <row r="2" spans="24:24" x14ac:dyDescent="0.45">
      <c r="X2" s="213" t="str">
        <f>Company_Name&amp;" Valuation - "&amp;Scenario&amp;" Case - Range of Implied Share Prices"</f>
        <v>Walmart Inc. Valuation - Base Case - Range of Implied Share Prices</v>
      </c>
    </row>
    <row r="32" spans="9:18" x14ac:dyDescent="0.45">
      <c r="I32" s="213" t="s">
        <v>116</v>
      </c>
      <c r="J32" s="213" t="s">
        <v>103</v>
      </c>
      <c r="K32" s="213" t="s">
        <v>38</v>
      </c>
      <c r="L32" s="213" t="s">
        <v>104</v>
      </c>
      <c r="M32" s="213" t="s">
        <v>117</v>
      </c>
      <c r="N32" s="228" t="s">
        <v>118</v>
      </c>
      <c r="O32" s="228" t="s">
        <v>119</v>
      </c>
      <c r="P32" s="228" t="s">
        <v>120</v>
      </c>
      <c r="Q32" s="228" t="s">
        <v>121</v>
      </c>
      <c r="R32" s="228" t="s">
        <v>125</v>
      </c>
    </row>
    <row r="33" spans="2:18" x14ac:dyDescent="0.45">
      <c r="I33" s="214"/>
      <c r="J33" s="214"/>
      <c r="K33" s="214"/>
      <c r="L33" s="214"/>
      <c r="M33" s="214"/>
      <c r="N33" s="214"/>
      <c r="O33" s="214"/>
      <c r="P33" s="214"/>
      <c r="Q33" s="214"/>
      <c r="R33" s="214"/>
    </row>
    <row r="34" spans="2:18" x14ac:dyDescent="0.45">
      <c r="B34" s="215" t="str">
        <f>+ValSum!B30</f>
        <v>4.00% - 6.00% WACC, (0.13%) - 0.50% Terminal FCF Growth Rate:</v>
      </c>
      <c r="I34" s="214"/>
      <c r="J34" s="214"/>
      <c r="K34" s="214"/>
      <c r="L34" s="214"/>
      <c r="M34" s="214"/>
      <c r="N34" s="216"/>
      <c r="O34" s="216"/>
      <c r="P34" s="216"/>
      <c r="Q34" s="216"/>
      <c r="R34" s="216"/>
    </row>
    <row r="35" spans="2:18" x14ac:dyDescent="0.45">
      <c r="I35" s="292"/>
      <c r="J35" s="292"/>
      <c r="K35" s="292"/>
      <c r="L35" s="292"/>
      <c r="M35" s="292"/>
    </row>
    <row r="36" spans="2:18" x14ac:dyDescent="0.45">
      <c r="B36" s="215" t="str">
        <f>+ValSum!B27</f>
        <v>1-Month Premiums:</v>
      </c>
      <c r="I36" s="217"/>
      <c r="J36" s="217"/>
      <c r="K36" s="217"/>
      <c r="L36" s="217"/>
      <c r="M36" s="217"/>
      <c r="N36" s="218"/>
      <c r="O36" s="218"/>
      <c r="P36" s="218"/>
      <c r="Q36" s="218"/>
      <c r="R36" s="218"/>
    </row>
    <row r="37" spans="2:18" x14ac:dyDescent="0.45">
      <c r="B37" s="215" t="str">
        <f>+ValSum!B26</f>
        <v>1-Week Premiums:</v>
      </c>
      <c r="I37" s="217"/>
      <c r="J37" s="217"/>
      <c r="K37" s="217"/>
      <c r="L37" s="217"/>
      <c r="M37" s="217"/>
      <c r="N37" s="218"/>
      <c r="O37" s="218"/>
      <c r="P37" s="218"/>
      <c r="Q37" s="218"/>
      <c r="R37" s="218"/>
    </row>
    <row r="38" spans="2:18" x14ac:dyDescent="0.45">
      <c r="B38" s="215" t="str">
        <f>+ValSum!B25</f>
        <v>1-Day Premiums:</v>
      </c>
      <c r="I38" s="217"/>
      <c r="J38" s="217"/>
      <c r="K38" s="217"/>
      <c r="L38" s="217"/>
      <c r="M38" s="217"/>
      <c r="N38" s="218"/>
      <c r="O38" s="218"/>
      <c r="P38" s="218"/>
      <c r="Q38" s="218"/>
      <c r="R38" s="218"/>
    </row>
    <row r="39" spans="2:18" x14ac:dyDescent="0.45">
      <c r="B39" s="215" t="str">
        <f>+ValSum!B24</f>
        <v>2019-04-30 EV / EBITDA:</v>
      </c>
      <c r="I39" s="217"/>
      <c r="J39" s="217"/>
      <c r="K39" s="217"/>
      <c r="L39" s="217"/>
      <c r="M39" s="217"/>
      <c r="N39" s="218"/>
      <c r="O39" s="218"/>
      <c r="P39" s="218"/>
      <c r="Q39" s="218"/>
      <c r="R39" s="218"/>
    </row>
    <row r="40" spans="2:18" x14ac:dyDescent="0.45">
      <c r="B40" s="215" t="str">
        <f>+ValSum!B23</f>
        <v>2019-04-30 EV / Revenue:</v>
      </c>
      <c r="I40" s="217"/>
      <c r="J40" s="217"/>
      <c r="K40" s="217"/>
      <c r="L40" s="217"/>
      <c r="M40" s="217"/>
      <c r="N40" s="218"/>
      <c r="O40" s="218"/>
      <c r="P40" s="218"/>
      <c r="Q40" s="218"/>
      <c r="R40" s="218"/>
    </row>
    <row r="41" spans="2:18" x14ac:dyDescent="0.45">
      <c r="I41" s="217"/>
      <c r="J41" s="217"/>
      <c r="K41" s="217"/>
      <c r="L41" s="217"/>
      <c r="M41" s="217"/>
      <c r="N41" s="217"/>
      <c r="O41" s="217"/>
      <c r="P41" s="217"/>
      <c r="Q41" s="217"/>
      <c r="R41" s="217"/>
    </row>
    <row r="42" spans="2:18" x14ac:dyDescent="0.45">
      <c r="B42" s="215" t="str">
        <f>+ValSum!B20</f>
        <v>FY 21 E Reported P / E:</v>
      </c>
      <c r="I42" s="217"/>
      <c r="J42" s="217"/>
      <c r="K42" s="217"/>
      <c r="L42" s="217"/>
      <c r="M42" s="217"/>
      <c r="N42" s="218"/>
      <c r="O42" s="218"/>
      <c r="P42" s="218"/>
      <c r="Q42" s="218"/>
      <c r="R42" s="218"/>
    </row>
    <row r="43" spans="2:18" x14ac:dyDescent="0.45">
      <c r="B43" s="215" t="str">
        <f>+ValSum!B19</f>
        <v>FY 20 E Reported P / E:</v>
      </c>
      <c r="I43" s="217"/>
      <c r="J43" s="217"/>
      <c r="K43" s="217"/>
      <c r="L43" s="217"/>
      <c r="M43" s="217"/>
      <c r="N43" s="218"/>
      <c r="O43" s="218"/>
      <c r="P43" s="218"/>
      <c r="Q43" s="218"/>
      <c r="R43" s="218"/>
    </row>
    <row r="44" spans="2:18" x14ac:dyDescent="0.45">
      <c r="B44" s="215" t="str">
        <f>+ValSum!B18</f>
        <v>2019-04-30 Reported P / E:</v>
      </c>
      <c r="I44" s="217"/>
      <c r="J44" s="217"/>
      <c r="K44" s="217"/>
      <c r="L44" s="217"/>
      <c r="M44" s="217"/>
      <c r="N44" s="218"/>
      <c r="O44" s="218"/>
      <c r="P44" s="218"/>
      <c r="Q44" s="218"/>
      <c r="R44" s="218"/>
    </row>
    <row r="45" spans="2:18" x14ac:dyDescent="0.45">
      <c r="B45" s="215" t="str">
        <f>+ValSum!B17</f>
        <v>FY 21 E EV / EBITDA:</v>
      </c>
      <c r="I45" s="217"/>
      <c r="J45" s="217"/>
      <c r="K45" s="217"/>
      <c r="L45" s="217"/>
      <c r="M45" s="217"/>
      <c r="N45" s="218"/>
      <c r="O45" s="218"/>
      <c r="P45" s="218"/>
      <c r="Q45" s="218"/>
      <c r="R45" s="218"/>
    </row>
    <row r="46" spans="2:18" x14ac:dyDescent="0.45">
      <c r="B46" s="215" t="str">
        <f>+ValSum!B16</f>
        <v>FY 20 E EV / EBITDA:</v>
      </c>
      <c r="I46" s="217"/>
      <c r="J46" s="217"/>
      <c r="K46" s="217"/>
      <c r="L46" s="217"/>
      <c r="M46" s="217"/>
      <c r="N46" s="218"/>
      <c r="O46" s="218"/>
      <c r="P46" s="218"/>
      <c r="Q46" s="218"/>
      <c r="R46" s="218"/>
    </row>
    <row r="47" spans="2:18" x14ac:dyDescent="0.45">
      <c r="B47" s="215" t="str">
        <f>+ValSum!B15</f>
        <v>2019-04-30 EV / EBITDA:</v>
      </c>
      <c r="I47" s="217"/>
      <c r="J47" s="217"/>
      <c r="K47" s="217"/>
      <c r="L47" s="217"/>
      <c r="M47" s="217"/>
      <c r="N47" s="218"/>
      <c r="O47" s="218"/>
      <c r="P47" s="218"/>
      <c r="Q47" s="218"/>
      <c r="R47" s="218"/>
    </row>
    <row r="48" spans="2:18" x14ac:dyDescent="0.45">
      <c r="B48" s="215" t="str">
        <f>+ValSum!B14</f>
        <v>FY 21 E EV / Revenue:</v>
      </c>
      <c r="I48" s="217"/>
      <c r="J48" s="217"/>
      <c r="K48" s="217"/>
      <c r="L48" s="217"/>
      <c r="M48" s="217"/>
      <c r="N48" s="218"/>
      <c r="O48" s="218"/>
      <c r="P48" s="218"/>
      <c r="Q48" s="218"/>
      <c r="R48" s="218"/>
    </row>
    <row r="49" spans="2:18" x14ac:dyDescent="0.45">
      <c r="B49" s="215" t="str">
        <f>+ValSum!B13</f>
        <v>FY 20 E EV / Revenue:</v>
      </c>
      <c r="I49" s="217"/>
      <c r="J49" s="217"/>
      <c r="K49" s="217"/>
      <c r="L49" s="217"/>
      <c r="M49" s="217"/>
      <c r="N49" s="218"/>
      <c r="O49" s="218"/>
      <c r="P49" s="218"/>
      <c r="Q49" s="218"/>
      <c r="R49" s="218"/>
    </row>
    <row r="50" spans="2:18" x14ac:dyDescent="0.45">
      <c r="B50" s="215" t="str">
        <f>+ValSum!B12</f>
        <v>2019-04-30 EV / Revenue:</v>
      </c>
      <c r="I50" s="217"/>
      <c r="J50" s="217"/>
      <c r="K50" s="217"/>
      <c r="L50" s="217"/>
      <c r="M50" s="217"/>
      <c r="N50" s="218"/>
      <c r="O50" s="218"/>
      <c r="P50" s="218"/>
      <c r="Q50" s="218"/>
      <c r="R50" s="218"/>
    </row>
    <row r="52" spans="2:18" x14ac:dyDescent="0.45">
      <c r="B52" s="478" t="s">
        <v>379</v>
      </c>
      <c r="I52" s="217"/>
      <c r="J52" s="217"/>
      <c r="K52" s="217"/>
      <c r="L52" s="217"/>
      <c r="M52" s="217"/>
      <c r="N52" s="479"/>
      <c r="O52" s="479"/>
      <c r="P52" s="479"/>
      <c r="Q52" s="479"/>
      <c r="R52" s="479"/>
    </row>
  </sheetData>
  <sortState xmlns:xlrd2="http://schemas.microsoft.com/office/spreadsheetml/2017/richdata2" ref="A34:AF50">
    <sortCondition descending="1" ref="A34:A50"/>
  </sortState>
  <pageMargins left="0.7" right="0.7" top="0.75" bottom="0.75" header="0.3" footer="0.3"/>
  <pageSetup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40</vt:i4>
      </vt:variant>
    </vt:vector>
  </HeadingPairs>
  <TitlesOfParts>
    <vt:vector size="52" baseType="lpstr">
      <vt:lpstr>Cover</vt:lpstr>
      <vt:lpstr>Summary</vt:lpstr>
      <vt:lpstr>Graphs</vt:lpstr>
      <vt:lpstr>WMT_Model</vt:lpstr>
      <vt:lpstr>Q1_Results</vt:lpstr>
      <vt:lpstr>DCF</vt:lpstr>
      <vt:lpstr>WACC</vt:lpstr>
      <vt:lpstr>ValSum</vt:lpstr>
      <vt:lpstr>ValGraph</vt:lpstr>
      <vt:lpstr>Public_Comps</vt:lpstr>
      <vt:lpstr>Public_Comps_Data</vt:lpstr>
      <vt:lpstr>MA_Comps</vt:lpstr>
      <vt:lpstr>Avg_Balances</vt:lpstr>
      <vt:lpstr>Basic_Shares</vt:lpstr>
      <vt:lpstr>Company_Name</vt:lpstr>
      <vt:lpstr>Cost_of_Debt</vt:lpstr>
      <vt:lpstr>Cost_of_Preferred</vt:lpstr>
      <vt:lpstr>Discount_Rate</vt:lpstr>
      <vt:lpstr>Equity_Risk_Premium</vt:lpstr>
      <vt:lpstr>Forward_Year_1</vt:lpstr>
      <vt:lpstr>Forward_Year_2</vt:lpstr>
      <vt:lpstr>Forward_Year_3</vt:lpstr>
      <vt:lpstr>Hist_Year</vt:lpstr>
      <vt:lpstr>LTM</vt:lpstr>
      <vt:lpstr>Next_Year</vt:lpstr>
      <vt:lpstr>Cover!Print_Area</vt:lpstr>
      <vt:lpstr>DCF!Print_Area</vt:lpstr>
      <vt:lpstr>Graphs!Print_Area</vt:lpstr>
      <vt:lpstr>MA_Comps!Print_Area</vt:lpstr>
      <vt:lpstr>Public_Comps!Print_Area</vt:lpstr>
      <vt:lpstr>Public_Comps_Data!Print_Area</vt:lpstr>
      <vt:lpstr>Q1_Results!Print_Area</vt:lpstr>
      <vt:lpstr>Summary!Print_Area</vt:lpstr>
      <vt:lpstr>ValGraph!Print_Area</vt:lpstr>
      <vt:lpstr>ValSum!Print_Area</vt:lpstr>
      <vt:lpstr>WACC!Print_Area</vt:lpstr>
      <vt:lpstr>WMT_Model!Print_Area</vt:lpstr>
      <vt:lpstr>Public_Comps_Data!Print_Titles</vt:lpstr>
      <vt:lpstr>Pub_Comps_Params</vt:lpstr>
      <vt:lpstr>Pub_Comps_Range</vt:lpstr>
      <vt:lpstr>Pub_Comps_Tickers</vt:lpstr>
      <vt:lpstr>Risk_Free_Rate</vt:lpstr>
      <vt:lpstr>Scenario</vt:lpstr>
      <vt:lpstr>Share_Price</vt:lpstr>
      <vt:lpstr>Stub_Period</vt:lpstr>
      <vt:lpstr>Tax_Rate</vt:lpstr>
      <vt:lpstr>Terminal_Growth_Rate</vt:lpstr>
      <vt:lpstr>Terminal_Multiple</vt:lpstr>
      <vt:lpstr>Ticker</vt:lpstr>
      <vt:lpstr>Units</vt:lpstr>
      <vt:lpstr>Valuation_Date</vt:lpstr>
      <vt:lpstr>WACC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BIWS</dc:creator>
  <cp:lastModifiedBy>Brian DeChesare</cp:lastModifiedBy>
  <cp:lastPrinted>2019-07-28T23:38:47Z</cp:lastPrinted>
  <dcterms:created xsi:type="dcterms:W3CDTF">2014-03-07T00:48:59Z</dcterms:created>
  <dcterms:modified xsi:type="dcterms:W3CDTF">2025-08-25T02:23:55Z</dcterms:modified>
</cp:coreProperties>
</file>